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3256" windowHeight="13176"/>
  </bookViews>
  <sheets>
    <sheet name="SPAZZAMENTO" sheetId="4" r:id="rId1"/>
    <sheet name="RACCOLTA DIFF. E IMPIANTI" sheetId="5" r:id="rId2"/>
    <sheet name="PULIZIA" sheetId="1" r:id="rId3"/>
  </sheets>
  <calcPr calcId="145621"/>
</workbook>
</file>

<file path=xl/calcChain.xml><?xml version="1.0" encoding="utf-8"?>
<calcChain xmlns="http://schemas.openxmlformats.org/spreadsheetml/2006/main">
  <c r="K6" i="1" l="1"/>
  <c r="C36" i="5" l="1"/>
  <c r="C35" i="5"/>
  <c r="C20" i="5" l="1"/>
  <c r="C15" i="5"/>
  <c r="J20" i="1" l="1"/>
  <c r="I20" i="1"/>
  <c r="H20" i="1"/>
  <c r="G20" i="1"/>
  <c r="F20" i="1"/>
  <c r="F19" i="1"/>
  <c r="E20" i="1"/>
  <c r="E19" i="1"/>
  <c r="D20" i="1"/>
  <c r="C19" i="1"/>
  <c r="C20" i="1"/>
  <c r="H20" i="5"/>
  <c r="G20" i="5"/>
  <c r="G19" i="5"/>
  <c r="F20" i="5"/>
  <c r="F19" i="5"/>
  <c r="E20" i="5"/>
  <c r="D20" i="5"/>
  <c r="C14" i="5" l="1"/>
  <c r="C19" i="5"/>
  <c r="C36" i="4" l="1"/>
  <c r="C21" i="5" l="1"/>
  <c r="C8" i="5"/>
  <c r="K35" i="1" l="1"/>
  <c r="I35" i="5"/>
  <c r="F35" i="4"/>
  <c r="F33" i="5"/>
  <c r="E20" i="4"/>
  <c r="D20" i="4"/>
  <c r="C20" i="4"/>
  <c r="C6" i="5" l="1"/>
  <c r="C30" i="5" l="1"/>
  <c r="C11" i="1"/>
  <c r="D21" i="1" l="1"/>
  <c r="H21" i="5"/>
  <c r="G21" i="5"/>
  <c r="F21" i="5"/>
  <c r="D21" i="5"/>
  <c r="E21" i="5"/>
  <c r="C21" i="4"/>
  <c r="C45" i="4"/>
  <c r="C47" i="4" s="1"/>
  <c r="C47" i="1"/>
  <c r="I45" i="5"/>
  <c r="D47" i="4"/>
  <c r="E19" i="4" l="1"/>
  <c r="D19" i="4"/>
  <c r="C19" i="4"/>
  <c r="D29" i="5" l="1"/>
  <c r="G30" i="5"/>
  <c r="F30" i="5"/>
  <c r="D30" i="5"/>
  <c r="E30" i="4"/>
  <c r="D30" i="4"/>
  <c r="C30" i="4"/>
  <c r="H14" i="5" l="1"/>
  <c r="F14" i="1"/>
  <c r="E14" i="1"/>
  <c r="D14" i="1"/>
  <c r="C14" i="1"/>
  <c r="G14" i="5"/>
  <c r="F14" i="5"/>
  <c r="E14" i="5"/>
  <c r="D14" i="5"/>
  <c r="E14" i="4"/>
  <c r="D14" i="4"/>
  <c r="C14" i="4"/>
  <c r="H27" i="5" l="1"/>
  <c r="H25" i="5"/>
  <c r="H24" i="5"/>
  <c r="H23" i="5"/>
  <c r="F27" i="5"/>
  <c r="F25" i="5"/>
  <c r="F24" i="5"/>
  <c r="F23" i="5"/>
  <c r="C6" i="1" l="1"/>
  <c r="J6" i="1"/>
  <c r="I6" i="1"/>
  <c r="F6" i="1"/>
  <c r="D6" i="1"/>
  <c r="H6" i="1"/>
  <c r="E6" i="1"/>
  <c r="G6" i="1"/>
  <c r="D8" i="5"/>
  <c r="G8" i="5"/>
  <c r="F8" i="5"/>
  <c r="C8" i="4"/>
  <c r="I54" i="5" l="1"/>
  <c r="F36" i="4" l="1"/>
  <c r="F29" i="4"/>
  <c r="F21" i="4"/>
  <c r="F15" i="4"/>
  <c r="F6" i="4"/>
  <c r="H9" i="5"/>
  <c r="H37" i="5"/>
  <c r="I36" i="5"/>
  <c r="G9" i="5"/>
  <c r="E9" i="5"/>
  <c r="H38" i="5" l="1"/>
  <c r="D9" i="5" l="1"/>
  <c r="F11" i="4" l="1"/>
  <c r="I11" i="5" l="1"/>
  <c r="K11" i="1" l="1"/>
  <c r="K46" i="1"/>
  <c r="K45" i="1"/>
  <c r="K44" i="1"/>
  <c r="K43" i="1"/>
  <c r="K42" i="1"/>
  <c r="K41" i="1"/>
  <c r="K40" i="1"/>
  <c r="K36" i="1"/>
  <c r="K34" i="1"/>
  <c r="K33" i="1"/>
  <c r="K32" i="1"/>
  <c r="K31" i="1"/>
  <c r="K29" i="1"/>
  <c r="K28" i="1"/>
  <c r="K26" i="1"/>
  <c r="K25" i="1"/>
  <c r="K24" i="1"/>
  <c r="K23" i="1"/>
  <c r="K22" i="1"/>
  <c r="K21" i="1"/>
  <c r="K19" i="1"/>
  <c r="K18" i="1"/>
  <c r="K17" i="1"/>
  <c r="K16" i="1"/>
  <c r="K15" i="1"/>
  <c r="K14" i="1"/>
  <c r="K13" i="1"/>
  <c r="I24" i="5" l="1"/>
  <c r="K27" i="1" l="1"/>
  <c r="I15" i="5"/>
  <c r="I21" i="5"/>
  <c r="F27" i="4"/>
  <c r="E37" i="5"/>
  <c r="I29" i="5"/>
  <c r="J47" i="1"/>
  <c r="I47" i="1"/>
  <c r="H47" i="1"/>
  <c r="G47" i="1"/>
  <c r="F47" i="1"/>
  <c r="E47" i="1"/>
  <c r="D47" i="1"/>
  <c r="H47" i="5"/>
  <c r="G47" i="5"/>
  <c r="F47" i="5"/>
  <c r="E47" i="5"/>
  <c r="D47" i="5"/>
  <c r="K30" i="1" l="1"/>
  <c r="I30" i="5"/>
  <c r="F30" i="4"/>
  <c r="D37" i="5"/>
  <c r="K47" i="1"/>
  <c r="I44" i="5"/>
  <c r="E47" i="4"/>
  <c r="F45" i="4"/>
  <c r="D37" i="1"/>
  <c r="F20" i="4"/>
  <c r="I37" i="1"/>
  <c r="H37" i="1"/>
  <c r="G37" i="1"/>
  <c r="C37" i="1"/>
  <c r="K20" i="1" l="1"/>
  <c r="F37" i="5"/>
  <c r="I20" i="5"/>
  <c r="I43" i="5"/>
  <c r="I47" i="5" s="1"/>
  <c r="C47" i="5"/>
  <c r="F43" i="4"/>
  <c r="F44" i="4"/>
  <c r="I19" i="5"/>
  <c r="F47" i="4" l="1"/>
  <c r="C9" i="5"/>
  <c r="K12" i="1"/>
  <c r="K37" i="1" s="1"/>
  <c r="I34" i="5"/>
  <c r="I33" i="5"/>
  <c r="I32" i="5"/>
  <c r="I31" i="5"/>
  <c r="I28" i="5"/>
  <c r="I27" i="5"/>
  <c r="I26" i="5"/>
  <c r="I25" i="5"/>
  <c r="I23" i="5"/>
  <c r="I18" i="5"/>
  <c r="I17" i="5"/>
  <c r="I16" i="5"/>
  <c r="I13" i="5"/>
  <c r="F34" i="4"/>
  <c r="F33" i="4"/>
  <c r="F32" i="4"/>
  <c r="F31" i="4"/>
  <c r="F28" i="4"/>
  <c r="F26" i="4"/>
  <c r="F25" i="4"/>
  <c r="F24" i="4"/>
  <c r="F23" i="4"/>
  <c r="F13" i="4"/>
  <c r="F18" i="4"/>
  <c r="F17" i="4"/>
  <c r="F16" i="4"/>
  <c r="I39" i="5"/>
  <c r="G28" i="4" l="1"/>
  <c r="D37" i="4"/>
  <c r="F19" i="4"/>
  <c r="G37" i="5"/>
  <c r="F14" i="4"/>
  <c r="J37" i="1"/>
  <c r="F37" i="1"/>
  <c r="E37" i="1"/>
  <c r="E37" i="4"/>
  <c r="C37" i="4"/>
  <c r="J9" i="1"/>
  <c r="I9" i="1"/>
  <c r="I38" i="1" s="1"/>
  <c r="I52" i="1" s="1"/>
  <c r="I55" i="1" s="1"/>
  <c r="H9" i="1"/>
  <c r="H38" i="1" s="1"/>
  <c r="H52" i="1" s="1"/>
  <c r="H55" i="1" s="1"/>
  <c r="G9" i="1"/>
  <c r="G38" i="1" s="1"/>
  <c r="G52" i="1" s="1"/>
  <c r="G55" i="1" s="1"/>
  <c r="F9" i="1"/>
  <c r="E9" i="1"/>
  <c r="D9" i="1"/>
  <c r="D38" i="1" s="1"/>
  <c r="D52" i="1" s="1"/>
  <c r="D55" i="1" s="1"/>
  <c r="C9" i="1"/>
  <c r="C38" i="1" s="1"/>
  <c r="C52" i="1" s="1"/>
  <c r="C55" i="1" s="1"/>
  <c r="K9" i="1"/>
  <c r="K38" i="1" s="1"/>
  <c r="K52" i="1" s="1"/>
  <c r="K55" i="1" s="1"/>
  <c r="F8" i="4"/>
  <c r="F7" i="4"/>
  <c r="E9" i="4"/>
  <c r="D9" i="4"/>
  <c r="C9" i="4"/>
  <c r="I8" i="5"/>
  <c r="I7" i="5"/>
  <c r="F9" i="5"/>
  <c r="I14" i="5" l="1"/>
  <c r="C37" i="5"/>
  <c r="I37" i="5" s="1"/>
  <c r="H52" i="5"/>
  <c r="H55" i="5" s="1"/>
  <c r="J38" i="1"/>
  <c r="J52" i="1" s="1"/>
  <c r="J55" i="1" s="1"/>
  <c r="G38" i="5"/>
  <c r="G52" i="5" s="1"/>
  <c r="G55" i="5" s="1"/>
  <c r="D38" i="4"/>
  <c r="D52" i="4" s="1"/>
  <c r="D55" i="4" s="1"/>
  <c r="F38" i="1"/>
  <c r="F52" i="1" s="1"/>
  <c r="F55" i="1" s="1"/>
  <c r="F38" i="5"/>
  <c r="F52" i="5" s="1"/>
  <c r="F55" i="5" s="1"/>
  <c r="E38" i="5"/>
  <c r="E52" i="5" s="1"/>
  <c r="E55" i="5" s="1"/>
  <c r="D38" i="5"/>
  <c r="D52" i="5" s="1"/>
  <c r="D55" i="5" s="1"/>
  <c r="E38" i="4"/>
  <c r="E52" i="4" s="1"/>
  <c r="E55" i="4" s="1"/>
  <c r="C38" i="4"/>
  <c r="C52" i="4" s="1"/>
  <c r="C55" i="4" s="1"/>
  <c r="E38" i="1"/>
  <c r="E52" i="1" s="1"/>
  <c r="E55" i="1" s="1"/>
  <c r="I6" i="5"/>
  <c r="F9" i="4"/>
  <c r="C38" i="5" l="1"/>
  <c r="C52" i="5" s="1"/>
  <c r="C55" i="5" s="1"/>
  <c r="I9" i="5"/>
  <c r="I38" i="5" s="1"/>
  <c r="I52" i="5" s="1"/>
  <c r="I55" i="5" s="1"/>
  <c r="F37" i="4"/>
  <c r="F38" i="4" s="1"/>
  <c r="F52" i="4" s="1"/>
  <c r="F55" i="4" s="1"/>
</calcChain>
</file>

<file path=xl/sharedStrings.xml><?xml version="1.0" encoding="utf-8"?>
<sst xmlns="http://schemas.openxmlformats.org/spreadsheetml/2006/main" count="182" uniqueCount="77">
  <si>
    <t>TOTALE</t>
  </si>
  <si>
    <t>A) Valore della produzione</t>
  </si>
  <si>
    <t>1) Ricavi delle vendite e delle prestazioni</t>
  </si>
  <si>
    <t>5) Altri ricavi e proventi:</t>
  </si>
  <si>
    <t>- vari</t>
  </si>
  <si>
    <t>Totale valore della produzione</t>
  </si>
  <si>
    <t>B) Costi della produzione</t>
  </si>
  <si>
    <t>6) Per materie prime, sussidiarie, di consumo e di merci</t>
  </si>
  <si>
    <t>7) Per servizi</t>
  </si>
  <si>
    <t xml:space="preserve">a) Lavori affidati a terzi </t>
  </si>
  <si>
    <t>c) Consulenze e incarichi affidati a professionisti</t>
  </si>
  <si>
    <t xml:space="preserve">d) Attività promozionali </t>
  </si>
  <si>
    <t xml:space="preserve">e) Formazione </t>
  </si>
  <si>
    <t>f) Spese per trasferte</t>
  </si>
  <si>
    <t xml:space="preserve">h) Altri </t>
  </si>
  <si>
    <t>8) Per godimento di beni di terzi</t>
  </si>
  <si>
    <t>9) Per il personale</t>
  </si>
  <si>
    <t>a) Salari e stipendi</t>
  </si>
  <si>
    <t>b) Oneri sociali</t>
  </si>
  <si>
    <t>c) Trattamento di fine rapporto</t>
  </si>
  <si>
    <t>d) Trattamento di quiescenza e simili</t>
  </si>
  <si>
    <t>e) Altri costi</t>
  </si>
  <si>
    <t>10) Ammortamenti e svalutazioni</t>
  </si>
  <si>
    <t>a) Ammortamento delle immobilizzazioni immateriali</t>
  </si>
  <si>
    <t>b) Ammortamento delle immobilizzazioni materiali</t>
  </si>
  <si>
    <t>c) Altre svalutazioni delle immobilizzazioni</t>
  </si>
  <si>
    <t>d) Svalutazioni dei crediti compresi nell'attivo circolante e delle disponibilità liquide</t>
  </si>
  <si>
    <t>11) Variazioni delle rimanenze di materie prime,  sussidiarie, di consumo e merci</t>
  </si>
  <si>
    <t>12) Accantonamento per rischi</t>
  </si>
  <si>
    <t>13) Altri accantonamenti</t>
  </si>
  <si>
    <t>14) Oneri diversi di gestione</t>
  </si>
  <si>
    <t>Totale costi della produzione</t>
  </si>
  <si>
    <t>Differenza tra valore e costi di produzione (A-B)</t>
  </si>
  <si>
    <t>C) Proventi e oneri finanziari</t>
  </si>
  <si>
    <t>15) Proventi da partecipazioni:</t>
  </si>
  <si>
    <t>-altri</t>
  </si>
  <si>
    <t>16) Altri proventi finanziari:</t>
  </si>
  <si>
    <t>17) Interessi e altri oneri finanziari:</t>
  </si>
  <si>
    <t>-di conto corrente</t>
  </si>
  <si>
    <t>-su mutui</t>
  </si>
  <si>
    <t>17-bis) Utili e Perdite su cambi</t>
  </si>
  <si>
    <t>Totale proventi e oneri finanziari</t>
  </si>
  <si>
    <t>D) Rettifiche di valore di attività finanziarie</t>
  </si>
  <si>
    <t>18) Rivalutazioni:</t>
  </si>
  <si>
    <t>19) Svalutazioni:</t>
  </si>
  <si>
    <t>Totale rettifiche di valore di attività finanziarie</t>
  </si>
  <si>
    <t>Risultato prima delle imposte (A-B±C±D±E)</t>
  </si>
  <si>
    <t>22) Imposte sul reddito dell'esercizio, correnti, differite e anticipate</t>
  </si>
  <si>
    <t>a) Imposte correnti</t>
  </si>
  <si>
    <t>23) Utile (Perdita) dell'esercizio</t>
  </si>
  <si>
    <t>SALERNO PULITA SPA</t>
  </si>
  <si>
    <t xml:space="preserve">b) Manutenzione e riparazione macchine, impianti, automezzi etc. </t>
  </si>
  <si>
    <t>g) Spese per automezzi (assicurazioni)</t>
  </si>
  <si>
    <t>ANNO 2019</t>
  </si>
  <si>
    <t>11) Variazioni delle rimanenze di materie prime, sussidiarie,di consumo e merci</t>
  </si>
  <si>
    <t>di conto corrente / conto anticipo</t>
  </si>
  <si>
    <t>g) Spese per automezzi(assicurazioni+lavaggi automezzi)</t>
  </si>
  <si>
    <t>Centro 1005 Centro Agro Alimentare</t>
  </si>
  <si>
    <t>Centro 1006 Cimitero</t>
  </si>
  <si>
    <t xml:space="preserve">Raccolta Differenziata Centro 1007 </t>
  </si>
  <si>
    <t>Compostaggio Centro 1008</t>
  </si>
  <si>
    <t>Ostaglio Centro 1009</t>
  </si>
  <si>
    <t xml:space="preserve">Centro Raccolta Vetro 1010-1011 </t>
  </si>
  <si>
    <t>Ingombranti Centro 1012</t>
  </si>
  <si>
    <t>Isole Ecologiche Centro 1013-1014</t>
  </si>
  <si>
    <t xml:space="preserve">Pulizia Uffici Comunali Centro 2001 </t>
  </si>
  <si>
    <t>Uffici Giudiziari Centro 2002</t>
  </si>
  <si>
    <t>Bagni Pubblici Centro 2003</t>
  </si>
  <si>
    <t>Stadio Arechi Centro 2004</t>
  </si>
  <si>
    <t>Asili nido Centro 2005</t>
  </si>
  <si>
    <t>Strutture Giudizirie Centro 2006</t>
  </si>
  <si>
    <t>Piscine e Stadi Centro 2007</t>
  </si>
  <si>
    <t>Teatri Centro 2007</t>
  </si>
  <si>
    <t xml:space="preserve">Centro Spazzamento 1001 - 1002 - 1003 - 1004 </t>
  </si>
  <si>
    <t>Conto Economico suddiviso per centri di costo analitici:spazzamento</t>
  </si>
  <si>
    <t>Conto Economico suddiviso per centri di costo analitici: raccolta differenziata e impianti</t>
  </si>
  <si>
    <t>Conto Economico suddiviso per centri di costo analitici: pulizia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</si>
</sst>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#,##0;\(#,##0\)"/>
  </numFmts>
  <fonts count="20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b/>
      <sz val="10"/>
      <name val="DaxWide"/>
      <family val="3"/>
      <charset val="1"/>
    </font>
    <font>
      <b/>
      <sz val="11"/>
      <name val="DaxWide"/>
      <family val="3"/>
      <charset val="1"/>
    </font>
    <font>
      <sz val="1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b/>
      <i/>
      <sz val="10"/>
      <name val="DaxWide"/>
      <family val="3"/>
      <charset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9"/>
      <name val="DaxWide"/>
      <family val="3"/>
      <charset val="1"/>
    </font>
    <font>
      <b/>
      <sz val="10"/>
      <name val="DaxWide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00008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DaxWide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9" fontId="1" fillId="0" borderId="0" applyBorder="0" applyProtection="0"/>
    <xf numFmtId="164" fontId="2" fillId="0" borderId="0" applyFont="0" applyFill="0" applyBorder="0" applyAlignment="0" applyProtection="0"/>
    <xf numFmtId="0" fontId="5" fillId="0" borderId="0" applyFill="0" applyBorder="0" applyProtection="0"/>
    <xf numFmtId="0" fontId="6" fillId="0" borderId="0" applyFill="0" applyBorder="0" applyProtection="0"/>
  </cellStyleXfs>
  <cellXfs count="153">
    <xf numFmtId="0" fontId="0" fillId="0" borderId="0" xfId="0"/>
    <xf numFmtId="165" fontId="3" fillId="0" borderId="0" xfId="1" applyNumberFormat="1" applyFont="1"/>
    <xf numFmtId="165" fontId="3" fillId="0" borderId="9" xfId="1" applyNumberFormat="1" applyFont="1" applyBorder="1"/>
    <xf numFmtId="0" fontId="3" fillId="0" borderId="11" xfId="1" applyFont="1" applyBorder="1" applyAlignment="1">
      <alignment wrapText="1"/>
    </xf>
    <xf numFmtId="165" fontId="3" fillId="0" borderId="4" xfId="1" applyNumberFormat="1" applyFont="1" applyBorder="1"/>
    <xf numFmtId="165" fontId="3" fillId="0" borderId="3" xfId="1" applyNumberFormat="1" applyFont="1" applyBorder="1"/>
    <xf numFmtId="165" fontId="3" fillId="0" borderId="1" xfId="1" applyNumberFormat="1" applyFont="1" applyBorder="1"/>
    <xf numFmtId="165" fontId="3" fillId="0" borderId="10" xfId="1" applyNumberFormat="1" applyFont="1" applyBorder="1"/>
    <xf numFmtId="0" fontId="3" fillId="0" borderId="12" xfId="1" applyFont="1" applyBorder="1" applyAlignment="1">
      <alignment horizontal="justify" wrapText="1"/>
    </xf>
    <xf numFmtId="0" fontId="9" fillId="0" borderId="0" xfId="0" applyFont="1"/>
    <xf numFmtId="165" fontId="9" fillId="0" borderId="0" xfId="0" applyNumberFormat="1" applyFont="1"/>
    <xf numFmtId="0" fontId="2" fillId="0" borderId="0" xfId="0" applyFont="1"/>
    <xf numFmtId="0" fontId="13" fillId="0" borderId="11" xfId="1" applyFont="1" applyBorder="1" applyAlignment="1">
      <alignment wrapText="1"/>
    </xf>
    <xf numFmtId="0" fontId="16" fillId="0" borderId="12" xfId="1" applyFont="1" applyBorder="1" applyAlignment="1">
      <alignment wrapText="1"/>
    </xf>
    <xf numFmtId="165" fontId="16" fillId="0" borderId="10" xfId="1" applyNumberFormat="1" applyFont="1" applyBorder="1"/>
    <xf numFmtId="165" fontId="16" fillId="0" borderId="11" xfId="1" applyNumberFormat="1" applyFont="1" applyBorder="1"/>
    <xf numFmtId="165" fontId="16" fillId="0" borderId="10" xfId="1" applyNumberFormat="1" applyFont="1" applyBorder="1" applyAlignment="1">
      <alignment horizontal="right"/>
    </xf>
    <xf numFmtId="0" fontId="13" fillId="0" borderId="5" xfId="1" applyFont="1" applyBorder="1" applyAlignment="1">
      <alignment wrapText="1"/>
    </xf>
    <xf numFmtId="0" fontId="13" fillId="0" borderId="5" xfId="1" applyFont="1" applyBorder="1" applyAlignment="1">
      <alignment horizontal="right" vertical="center" wrapText="1"/>
    </xf>
    <xf numFmtId="0" fontId="13" fillId="0" borderId="6" xfId="1" applyFont="1" applyBorder="1" applyAlignment="1">
      <alignment wrapText="1"/>
    </xf>
    <xf numFmtId="0" fontId="13" fillId="0" borderId="6" xfId="1" applyFont="1" applyBorder="1" applyAlignment="1">
      <alignment horizontal="right" vertical="center" wrapText="1"/>
    </xf>
    <xf numFmtId="0" fontId="15" fillId="0" borderId="4" xfId="1" applyFont="1" applyBorder="1" applyAlignment="1">
      <alignment horizontal="center" vertical="center" wrapText="1"/>
    </xf>
    <xf numFmtId="165" fontId="13" fillId="0" borderId="4" xfId="1" applyNumberFormat="1" applyFont="1" applyBorder="1"/>
    <xf numFmtId="165" fontId="13" fillId="0" borderId="7" xfId="1" applyNumberFormat="1" applyFont="1" applyBorder="1"/>
    <xf numFmtId="165" fontId="13" fillId="0" borderId="10" xfId="1" applyNumberFormat="1" applyFont="1" applyBorder="1"/>
    <xf numFmtId="165" fontId="13" fillId="0" borderId="5" xfId="1" applyNumberFormat="1" applyFont="1" applyBorder="1" applyAlignment="1">
      <alignment horizontal="right"/>
    </xf>
    <xf numFmtId="165" fontId="13" fillId="0" borderId="11" xfId="1" applyNumberFormat="1" applyFont="1" applyBorder="1" applyAlignment="1">
      <alignment horizontal="right"/>
    </xf>
    <xf numFmtId="0" fontId="13" fillId="0" borderId="12" xfId="1" applyFont="1" applyBorder="1" applyAlignment="1">
      <alignment horizontal="justify" wrapText="1"/>
    </xf>
    <xf numFmtId="165" fontId="13" fillId="0" borderId="6" xfId="1" applyNumberFormat="1" applyFont="1" applyBorder="1" applyAlignment="1">
      <alignment horizontal="right"/>
    </xf>
    <xf numFmtId="165" fontId="14" fillId="0" borderId="4" xfId="1" applyNumberFormat="1" applyFont="1" applyBorder="1"/>
    <xf numFmtId="165" fontId="14" fillId="0" borderId="7" xfId="1" applyNumberFormat="1" applyFont="1" applyBorder="1" applyAlignment="1">
      <alignment horizontal="right"/>
    </xf>
    <xf numFmtId="165" fontId="13" fillId="0" borderId="9" xfId="1" applyNumberFormat="1" applyFont="1" applyBorder="1"/>
    <xf numFmtId="165" fontId="13" fillId="0" borderId="9" xfId="1" applyNumberFormat="1" applyFont="1" applyBorder="1" applyAlignment="1">
      <alignment horizontal="right"/>
    </xf>
    <xf numFmtId="165" fontId="13" fillId="0" borderId="2" xfId="1" applyNumberFormat="1" applyFont="1" applyBorder="1"/>
    <xf numFmtId="165" fontId="13" fillId="0" borderId="1" xfId="1" applyNumberFormat="1" applyFont="1" applyBorder="1"/>
    <xf numFmtId="165" fontId="13" fillId="0" borderId="5" xfId="1" applyNumberFormat="1" applyFont="1" applyBorder="1"/>
    <xf numFmtId="165" fontId="13" fillId="0" borderId="1" xfId="1" applyNumberFormat="1" applyFont="1" applyBorder="1" applyAlignment="1">
      <alignment horizontal="right"/>
    </xf>
    <xf numFmtId="165" fontId="13" fillId="0" borderId="8" xfId="1" applyNumberFormat="1" applyFont="1" applyBorder="1"/>
    <xf numFmtId="165" fontId="13" fillId="0" borderId="11" xfId="1" applyNumberFormat="1" applyFont="1" applyBorder="1"/>
    <xf numFmtId="165" fontId="13" fillId="0" borderId="10" xfId="1" applyNumberFormat="1" applyFont="1" applyBorder="1" applyAlignment="1">
      <alignment horizontal="right"/>
    </xf>
    <xf numFmtId="165" fontId="13" fillId="0" borderId="12" xfId="1" applyNumberFormat="1" applyFont="1" applyBorder="1"/>
    <xf numFmtId="0" fontId="16" fillId="0" borderId="12" xfId="1" applyFont="1" applyBorder="1" applyAlignment="1">
      <alignment horizontal="left" wrapText="1"/>
    </xf>
    <xf numFmtId="0" fontId="16" fillId="0" borderId="11" xfId="1" applyFont="1" applyBorder="1" applyAlignment="1">
      <alignment wrapText="1"/>
    </xf>
    <xf numFmtId="0" fontId="16" fillId="0" borderId="12" xfId="1" applyFont="1" applyBorder="1" applyAlignment="1">
      <alignment horizontal="left" vertical="center" wrapText="1"/>
    </xf>
    <xf numFmtId="165" fontId="13" fillId="0" borderId="3" xfId="1" applyNumberFormat="1" applyFont="1" applyBorder="1" applyAlignment="1">
      <alignment horizontal="right"/>
    </xf>
    <xf numFmtId="165" fontId="14" fillId="0" borderId="2" xfId="1" applyNumberFormat="1" applyFont="1" applyBorder="1"/>
    <xf numFmtId="165" fontId="13" fillId="0" borderId="0" xfId="1" applyNumberFormat="1" applyFont="1"/>
    <xf numFmtId="0" fontId="16" fillId="0" borderId="12" xfId="1" applyFont="1" applyBorder="1" applyAlignment="1">
      <alignment horizontal="justify" wrapText="1"/>
    </xf>
    <xf numFmtId="165" fontId="13" fillId="0" borderId="3" xfId="1" applyNumberFormat="1" applyFont="1" applyBorder="1"/>
    <xf numFmtId="165" fontId="14" fillId="0" borderId="9" xfId="1" applyNumberFormat="1" applyFont="1" applyBorder="1"/>
    <xf numFmtId="165" fontId="14" fillId="0" borderId="7" xfId="1" applyNumberFormat="1" applyFont="1" applyBorder="1" applyAlignment="1">
      <alignment horizontal="right" vertical="center"/>
    </xf>
    <xf numFmtId="165" fontId="13" fillId="0" borderId="4" xfId="1" applyNumberFormat="1" applyFont="1" applyBorder="1" applyAlignment="1">
      <alignment horizontal="center" vertical="center"/>
    </xf>
    <xf numFmtId="165" fontId="13" fillId="0" borderId="13" xfId="1" applyNumberFormat="1" applyFont="1" applyBorder="1"/>
    <xf numFmtId="165" fontId="2" fillId="0" borderId="0" xfId="0" applyNumberFormat="1" applyFont="1"/>
    <xf numFmtId="164" fontId="2" fillId="0" borderId="0" xfId="3" applyFont="1" applyFill="1"/>
    <xf numFmtId="0" fontId="10" fillId="0" borderId="5" xfId="1" applyFont="1" applyBorder="1" applyAlignment="1">
      <alignment wrapText="1"/>
    </xf>
    <xf numFmtId="0" fontId="10" fillId="0" borderId="5" xfId="1" applyFont="1" applyBorder="1" applyAlignment="1">
      <alignment horizontal="right" vertical="center" wrapText="1"/>
    </xf>
    <xf numFmtId="0" fontId="10" fillId="0" borderId="0" xfId="0" applyFont="1"/>
    <xf numFmtId="0" fontId="10" fillId="0" borderId="6" xfId="1" applyFont="1" applyBorder="1" applyAlignment="1">
      <alignment wrapText="1"/>
    </xf>
    <xf numFmtId="0" fontId="10" fillId="0" borderId="6" xfId="1" applyFont="1" applyBorder="1" applyAlignment="1">
      <alignment horizontal="right" vertical="center" wrapText="1"/>
    </xf>
    <xf numFmtId="0" fontId="9" fillId="0" borderId="4" xfId="1" applyFont="1" applyBorder="1" applyAlignment="1">
      <alignment horizontal="center" vertical="center" wrapText="1"/>
    </xf>
    <xf numFmtId="0" fontId="9" fillId="0" borderId="9" xfId="1" applyFont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165" fontId="10" fillId="0" borderId="4" xfId="1" applyNumberFormat="1" applyFont="1" applyBorder="1"/>
    <xf numFmtId="165" fontId="10" fillId="0" borderId="9" xfId="1" applyNumberFormat="1" applyFont="1" applyBorder="1"/>
    <xf numFmtId="165" fontId="10" fillId="0" borderId="2" xfId="1" applyNumberFormat="1" applyFont="1" applyBorder="1"/>
    <xf numFmtId="165" fontId="10" fillId="0" borderId="10" xfId="1" applyNumberFormat="1" applyFont="1" applyBorder="1"/>
    <xf numFmtId="165" fontId="10" fillId="0" borderId="0" xfId="1" applyNumberFormat="1" applyFont="1"/>
    <xf numFmtId="165" fontId="10" fillId="0" borderId="12" xfId="1" applyNumberFormat="1" applyFont="1" applyBorder="1"/>
    <xf numFmtId="0" fontId="10" fillId="0" borderId="11" xfId="1" applyFont="1" applyBorder="1" applyAlignment="1">
      <alignment wrapText="1"/>
    </xf>
    <xf numFmtId="0" fontId="10" fillId="0" borderId="12" xfId="1" applyFont="1" applyBorder="1" applyAlignment="1">
      <alignment horizontal="justify" wrapText="1"/>
    </xf>
    <xf numFmtId="165" fontId="9" fillId="0" borderId="4" xfId="1" applyNumberFormat="1" applyFont="1" applyBorder="1"/>
    <xf numFmtId="165" fontId="9" fillId="0" borderId="9" xfId="1" applyNumberFormat="1" applyFont="1" applyBorder="1"/>
    <xf numFmtId="165" fontId="9" fillId="0" borderId="2" xfId="1" applyNumberFormat="1" applyFont="1" applyBorder="1"/>
    <xf numFmtId="0" fontId="17" fillId="0" borderId="12" xfId="1" applyFont="1" applyBorder="1" applyAlignment="1">
      <alignment wrapText="1"/>
    </xf>
    <xf numFmtId="165" fontId="17" fillId="0" borderId="10" xfId="1" applyNumberFormat="1" applyFont="1" applyBorder="1"/>
    <xf numFmtId="165" fontId="17" fillId="0" borderId="0" xfId="1" applyNumberFormat="1" applyFont="1"/>
    <xf numFmtId="164" fontId="10" fillId="0" borderId="0" xfId="3" applyFont="1" applyFill="1"/>
    <xf numFmtId="164" fontId="10" fillId="0" borderId="0" xfId="0" applyNumberFormat="1" applyFont="1"/>
    <xf numFmtId="0" fontId="17" fillId="0" borderId="12" xfId="1" applyFont="1" applyBorder="1" applyAlignment="1">
      <alignment horizontal="left" wrapText="1"/>
    </xf>
    <xf numFmtId="164" fontId="10" fillId="0" borderId="0" xfId="3" applyFont="1" applyFill="1" applyAlignment="1"/>
    <xf numFmtId="0" fontId="17" fillId="0" borderId="11" xfId="1" applyFont="1" applyBorder="1" applyAlignment="1">
      <alignment wrapText="1"/>
    </xf>
    <xf numFmtId="0" fontId="17" fillId="0" borderId="12" xfId="1" applyFont="1" applyBorder="1" applyAlignment="1">
      <alignment horizontal="left" vertical="center" wrapText="1"/>
    </xf>
    <xf numFmtId="0" fontId="17" fillId="0" borderId="12" xfId="1" applyFont="1" applyBorder="1" applyAlignment="1">
      <alignment horizontal="justify" wrapText="1"/>
    </xf>
    <xf numFmtId="165" fontId="10" fillId="0" borderId="1" xfId="1" applyNumberFormat="1" applyFont="1" applyBorder="1"/>
    <xf numFmtId="165" fontId="10" fillId="0" borderId="13" xfId="1" applyNumberFormat="1" applyFont="1" applyBorder="1"/>
    <xf numFmtId="165" fontId="10" fillId="0" borderId="8" xfId="1" applyNumberFormat="1" applyFont="1" applyBorder="1"/>
    <xf numFmtId="0" fontId="4" fillId="0" borderId="5" xfId="1" applyFont="1" applyBorder="1" applyAlignment="1">
      <alignment wrapText="1"/>
    </xf>
    <xf numFmtId="0" fontId="4" fillId="0" borderId="8" xfId="1" applyFont="1" applyBorder="1" applyAlignment="1">
      <alignment horizontal="right" vertical="center" wrapText="1"/>
    </xf>
    <xf numFmtId="0" fontId="4" fillId="0" borderId="6" xfId="1" applyFont="1" applyBorder="1" applyAlignment="1">
      <alignment wrapText="1"/>
    </xf>
    <xf numFmtId="0" fontId="4" fillId="0" borderId="14" xfId="1" applyFont="1" applyBorder="1" applyAlignment="1">
      <alignment horizontal="right" vertical="center" wrapText="1"/>
    </xf>
    <xf numFmtId="165" fontId="3" fillId="0" borderId="2" xfId="1" applyNumberFormat="1" applyFont="1" applyBorder="1"/>
    <xf numFmtId="165" fontId="3" fillId="0" borderId="12" xfId="1" applyNumberFormat="1" applyFont="1" applyBorder="1"/>
    <xf numFmtId="165" fontId="3" fillId="0" borderId="7" xfId="1" applyNumberFormat="1" applyFont="1" applyBorder="1"/>
    <xf numFmtId="0" fontId="11" fillId="0" borderId="0" xfId="1" applyFont="1" applyAlignment="1">
      <alignment wrapText="1"/>
    </xf>
    <xf numFmtId="165" fontId="11" fillId="0" borderId="10" xfId="1" applyNumberFormat="1" applyFont="1" applyBorder="1"/>
    <xf numFmtId="0" fontId="11" fillId="0" borderId="0" xfId="1" applyFont="1" applyAlignment="1">
      <alignment horizontal="left" wrapText="1"/>
    </xf>
    <xf numFmtId="164" fontId="9" fillId="0" borderId="0" xfId="3" applyFont="1" applyFill="1"/>
    <xf numFmtId="164" fontId="9" fillId="0" borderId="0" xfId="0" applyNumberFormat="1" applyFont="1"/>
    <xf numFmtId="164" fontId="9" fillId="0" borderId="0" xfId="3" applyFont="1" applyFill="1" applyAlignment="1"/>
    <xf numFmtId="0" fontId="11" fillId="0" borderId="11" xfId="1" applyFont="1" applyBorder="1" applyAlignment="1">
      <alignment wrapText="1"/>
    </xf>
    <xf numFmtId="0" fontId="11" fillId="0" borderId="0" xfId="1" applyFont="1" applyAlignment="1">
      <alignment horizontal="left" vertical="center" wrapText="1"/>
    </xf>
    <xf numFmtId="0" fontId="11" fillId="0" borderId="12" xfId="1" applyFont="1" applyBorder="1" applyAlignment="1">
      <alignment horizontal="justify" wrapText="1"/>
    </xf>
    <xf numFmtId="165" fontId="12" fillId="0" borderId="4" xfId="1" applyNumberFormat="1" applyFont="1" applyBorder="1"/>
    <xf numFmtId="165" fontId="12" fillId="0" borderId="9" xfId="1" applyNumberFormat="1" applyFont="1" applyBorder="1"/>
    <xf numFmtId="165" fontId="3" fillId="0" borderId="5" xfId="1" applyNumberFormat="1" applyFont="1" applyBorder="1"/>
    <xf numFmtId="165" fontId="3" fillId="0" borderId="13" xfId="1" applyNumberFormat="1" applyFont="1" applyBorder="1"/>
    <xf numFmtId="165" fontId="3" fillId="0" borderId="8" xfId="1" applyNumberFormat="1" applyFont="1" applyBorder="1"/>
    <xf numFmtId="0" fontId="11" fillId="0" borderId="12" xfId="1" quotePrefix="1" applyFont="1" applyBorder="1" applyAlignment="1">
      <alignment horizontal="justify" wrapText="1"/>
    </xf>
    <xf numFmtId="165" fontId="10" fillId="0" borderId="0" xfId="0" applyNumberFormat="1" applyFont="1"/>
    <xf numFmtId="0" fontId="7" fillId="0" borderId="0" xfId="1" applyFont="1" applyAlignment="1">
      <alignment wrapText="1"/>
    </xf>
    <xf numFmtId="0" fontId="3" fillId="0" borderId="4" xfId="1" applyFont="1" applyBorder="1" applyAlignment="1">
      <alignment horizontal="center" vertical="center" wrapText="1"/>
    </xf>
    <xf numFmtId="0" fontId="8" fillId="0" borderId="5" xfId="1" applyFont="1" applyBorder="1" applyAlignment="1">
      <alignment horizontal="left" wrapText="1"/>
    </xf>
    <xf numFmtId="0" fontId="8" fillId="0" borderId="8" xfId="1" applyFont="1" applyBorder="1" applyAlignment="1">
      <alignment horizontal="left" wrapText="1"/>
    </xf>
    <xf numFmtId="0" fontId="3" fillId="0" borderId="4" xfId="1" applyFont="1" applyBorder="1" applyAlignment="1">
      <alignment horizontal="left" vertical="center" wrapText="1"/>
    </xf>
    <xf numFmtId="0" fontId="3" fillId="0" borderId="1" xfId="1" applyFont="1" applyBorder="1" applyAlignment="1">
      <alignment horizontal="left" vertical="center" wrapText="1"/>
    </xf>
    <xf numFmtId="0" fontId="8" fillId="0" borderId="1" xfId="1" applyFont="1" applyBorder="1" applyAlignment="1">
      <alignment horizontal="left" vertical="center" wrapText="1"/>
    </xf>
    <xf numFmtId="0" fontId="8" fillId="0" borderId="3" xfId="1" applyFont="1" applyBorder="1" applyAlignment="1">
      <alignment horizontal="left" vertical="center" wrapText="1"/>
    </xf>
    <xf numFmtId="0" fontId="3" fillId="0" borderId="11" xfId="1" applyFont="1" applyBorder="1" applyAlignment="1">
      <alignment horizontal="justify" wrapText="1"/>
    </xf>
    <xf numFmtId="0" fontId="9" fillId="0" borderId="12" xfId="0" applyFont="1" applyBorder="1" applyAlignment="1">
      <alignment wrapText="1"/>
    </xf>
    <xf numFmtId="0" fontId="8" fillId="0" borderId="10" xfId="1" applyFont="1" applyBorder="1" applyAlignment="1">
      <alignment horizontal="left" vertical="center" wrapText="1"/>
    </xf>
    <xf numFmtId="0" fontId="8" fillId="0" borderId="11" xfId="1" applyFont="1" applyBorder="1" applyAlignment="1">
      <alignment horizontal="left" vertical="center" wrapText="1"/>
    </xf>
    <xf numFmtId="0" fontId="19" fillId="0" borderId="3" xfId="1" applyFont="1" applyBorder="1" applyAlignment="1">
      <alignment horizontal="center" vertical="center" wrapText="1"/>
    </xf>
    <xf numFmtId="0" fontId="19" fillId="0" borderId="4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9" fillId="0" borderId="9" xfId="1" applyFont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8" fillId="0" borderId="10" xfId="1" applyFont="1" applyBorder="1" applyAlignment="1">
      <alignment horizontal="left" wrapText="1"/>
    </xf>
    <xf numFmtId="0" fontId="8" fillId="0" borderId="11" xfId="1" applyFont="1" applyBorder="1" applyAlignment="1">
      <alignment horizontal="left" wrapText="1"/>
    </xf>
    <xf numFmtId="0" fontId="16" fillId="0" borderId="5" xfId="1" applyFont="1" applyBorder="1" applyAlignment="1">
      <alignment horizontal="left" wrapText="1"/>
    </xf>
    <xf numFmtId="0" fontId="16" fillId="0" borderId="8" xfId="1" applyFont="1" applyBorder="1" applyAlignment="1">
      <alignment horizontal="left" wrapText="1"/>
    </xf>
    <xf numFmtId="0" fontId="15" fillId="0" borderId="4" xfId="1" applyFont="1" applyBorder="1" applyAlignment="1">
      <alignment horizontal="left" vertical="center" wrapText="1"/>
    </xf>
    <xf numFmtId="0" fontId="16" fillId="0" borderId="10" xfId="1" applyFont="1" applyBorder="1" applyAlignment="1">
      <alignment horizontal="left" vertical="center" wrapText="1"/>
    </xf>
    <xf numFmtId="0" fontId="16" fillId="0" borderId="10" xfId="1" applyFont="1" applyBorder="1" applyAlignment="1">
      <alignment horizontal="left" wrapText="1"/>
    </xf>
    <xf numFmtId="0" fontId="14" fillId="0" borderId="7" xfId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5" fillId="0" borderId="4" xfId="1" applyFont="1" applyBorder="1" applyAlignment="1">
      <alignment horizontal="center" vertical="center" wrapText="1"/>
    </xf>
    <xf numFmtId="0" fontId="17" fillId="0" borderId="5" xfId="1" applyFont="1" applyBorder="1" applyAlignment="1">
      <alignment horizontal="left" wrapText="1"/>
    </xf>
    <xf numFmtId="0" fontId="17" fillId="0" borderId="8" xfId="1" applyFont="1" applyBorder="1" applyAlignment="1">
      <alignment horizontal="left" wrapText="1"/>
    </xf>
    <xf numFmtId="0" fontId="9" fillId="0" borderId="4" xfId="1" applyFont="1" applyBorder="1" applyAlignment="1">
      <alignment horizontal="left" vertical="center" wrapText="1"/>
    </xf>
    <xf numFmtId="0" fontId="17" fillId="0" borderId="10" xfId="1" applyFont="1" applyBorder="1" applyAlignment="1">
      <alignment horizontal="left" vertical="center" wrapText="1"/>
    </xf>
    <xf numFmtId="0" fontId="17" fillId="0" borderId="10" xfId="1" applyFont="1" applyBorder="1" applyAlignment="1">
      <alignment horizontal="left" wrapText="1"/>
    </xf>
    <xf numFmtId="0" fontId="9" fillId="0" borderId="7" xfId="1" applyFont="1" applyBorder="1" applyAlignment="1">
      <alignment horizontal="center" vertical="center"/>
    </xf>
    <xf numFmtId="0" fontId="9" fillId="0" borderId="9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 wrapText="1"/>
    </xf>
  </cellXfs>
  <cellStyles count="6">
    <cellStyle name="Migliaia" xfId="3" builtinId="3"/>
    <cellStyle name="Normale" xfId="0" builtinId="0"/>
    <cellStyle name="Normale 2" xfId="1"/>
    <cellStyle name="Normale 3" xfId="4"/>
    <cellStyle name="Normale 4" xfId="5"/>
    <cellStyle name="Percentuale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160020</xdr:colOff>
          <xdr:row>0</xdr:row>
          <xdr:rowOff>60960</xdr:rowOff>
        </xdr:from>
        <xdr:to>
          <xdr:col>1</xdr:col>
          <xdr:colOff>975360</xdr:colOff>
          <xdr:row>1</xdr:row>
          <xdr:rowOff>167640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0</xdr:row>
          <xdr:rowOff>60960</xdr:rowOff>
        </xdr:from>
        <xdr:to>
          <xdr:col>1</xdr:col>
          <xdr:colOff>1127760</xdr:colOff>
          <xdr:row>3</xdr:row>
          <xdr:rowOff>121920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259080</xdr:colOff>
          <xdr:row>0</xdr:row>
          <xdr:rowOff>38100</xdr:rowOff>
        </xdr:from>
        <xdr:to>
          <xdr:col>1</xdr:col>
          <xdr:colOff>1097280</xdr:colOff>
          <xdr:row>2</xdr:row>
          <xdr:rowOff>53340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55"/>
  <sheetViews>
    <sheetView tabSelected="1" zoomScale="80" zoomScaleNormal="80" workbookViewId="0">
      <selection activeCell="C20" sqref="C20"/>
    </sheetView>
  </sheetViews>
  <sheetFormatPr defaultColWidth="9.109375" defaultRowHeight="14.4"/>
  <cols>
    <col min="1" max="1" width="4.33203125" style="9" customWidth="1"/>
    <col min="2" max="2" width="98.33203125" style="9" customWidth="1"/>
    <col min="3" max="6" width="25.77734375" style="9" customWidth="1"/>
    <col min="7" max="7" width="13.33203125" style="9" hidden="1" customWidth="1"/>
    <col min="8" max="9" width="13.109375" style="9" customWidth="1"/>
    <col min="10" max="16384" width="9.109375" style="9"/>
  </cols>
  <sheetData>
    <row r="1" spans="1:6" ht="31.5" customHeight="1">
      <c r="A1" s="87"/>
      <c r="B1" s="88"/>
      <c r="C1" s="124" t="s">
        <v>74</v>
      </c>
      <c r="D1" s="125"/>
      <c r="E1" s="125"/>
      <c r="F1" s="126"/>
    </row>
    <row r="2" spans="1:6" ht="21" customHeight="1">
      <c r="A2" s="89"/>
      <c r="B2" s="90"/>
      <c r="C2" s="124" t="s">
        <v>50</v>
      </c>
      <c r="D2" s="125"/>
      <c r="E2" s="125"/>
      <c r="F2" s="126"/>
    </row>
    <row r="3" spans="1:6" ht="15" customHeight="1">
      <c r="A3" s="122"/>
      <c r="B3" s="122"/>
      <c r="C3" s="127" t="s">
        <v>53</v>
      </c>
      <c r="D3" s="128"/>
      <c r="E3" s="128"/>
      <c r="F3" s="129"/>
    </row>
    <row r="4" spans="1:6" ht="42" customHeight="1">
      <c r="A4" s="123"/>
      <c r="B4" s="123"/>
      <c r="C4" s="111" t="s">
        <v>73</v>
      </c>
      <c r="D4" s="111" t="s">
        <v>57</v>
      </c>
      <c r="E4" s="111" t="s">
        <v>58</v>
      </c>
      <c r="F4" s="111" t="s">
        <v>0</v>
      </c>
    </row>
    <row r="5" spans="1:6">
      <c r="A5" s="114" t="s">
        <v>1</v>
      </c>
      <c r="B5" s="114"/>
      <c r="C5" s="4"/>
      <c r="D5" s="4"/>
      <c r="E5" s="4"/>
      <c r="F5" s="91"/>
    </row>
    <row r="6" spans="1:6" ht="15.75" customHeight="1">
      <c r="A6" s="112" t="s">
        <v>2</v>
      </c>
      <c r="B6" s="113"/>
      <c r="C6" s="7">
        <v>5065499.99</v>
      </c>
      <c r="D6" s="7">
        <v>294629.03999999998</v>
      </c>
      <c r="E6" s="7">
        <v>284929.91999999998</v>
      </c>
      <c r="F6" s="92">
        <f>SUM(C6:E6)</f>
        <v>5645058.9500000002</v>
      </c>
    </row>
    <row r="7" spans="1:6" ht="18" customHeight="1">
      <c r="A7" s="130" t="s">
        <v>3</v>
      </c>
      <c r="B7" s="130"/>
      <c r="C7" s="7"/>
      <c r="D7" s="7"/>
      <c r="E7" s="7"/>
      <c r="F7" s="92">
        <f t="shared" ref="F7:F8" si="0">SUM(C7:E7)</f>
        <v>0</v>
      </c>
    </row>
    <row r="8" spans="1:6">
      <c r="A8" s="3"/>
      <c r="B8" s="8" t="s">
        <v>4</v>
      </c>
      <c r="C8" s="7">
        <f>22466.96+118.05+517.34+816.58+315.46+805.15+637.84+955.96</f>
        <v>26633.34</v>
      </c>
      <c r="D8" s="7">
        <v>1549.1</v>
      </c>
      <c r="E8" s="7">
        <v>1498.1</v>
      </c>
      <c r="F8" s="92">
        <f t="shared" si="0"/>
        <v>29680.539999999997</v>
      </c>
    </row>
    <row r="9" spans="1:6">
      <c r="A9" s="114" t="s">
        <v>5</v>
      </c>
      <c r="B9" s="114"/>
      <c r="C9" s="4">
        <f t="shared" ref="C9:E9" si="1">SUM(C6:C8)</f>
        <v>5092133.33</v>
      </c>
      <c r="D9" s="4">
        <f t="shared" si="1"/>
        <v>296178.13999999996</v>
      </c>
      <c r="E9" s="4">
        <f t="shared" si="1"/>
        <v>286428.01999999996</v>
      </c>
      <c r="F9" s="91">
        <f>SUM(C9:E9)</f>
        <v>5674739.4899999993</v>
      </c>
    </row>
    <row r="10" spans="1:6">
      <c r="A10" s="114" t="s">
        <v>6</v>
      </c>
      <c r="B10" s="114"/>
      <c r="C10" s="93"/>
      <c r="D10" s="2"/>
      <c r="E10" s="2"/>
      <c r="F10" s="91"/>
    </row>
    <row r="11" spans="1:6" ht="17.25" customHeight="1">
      <c r="A11" s="130" t="s">
        <v>7</v>
      </c>
      <c r="B11" s="131"/>
      <c r="C11" s="6">
        <v>183955</v>
      </c>
      <c r="D11" s="6">
        <v>6034</v>
      </c>
      <c r="E11" s="6">
        <v>6550</v>
      </c>
      <c r="F11" s="92">
        <f>SUM(C11:E11)</f>
        <v>196539</v>
      </c>
    </row>
    <row r="12" spans="1:6" ht="12" customHeight="1">
      <c r="A12" s="130" t="s">
        <v>8</v>
      </c>
      <c r="B12" s="131"/>
      <c r="C12" s="7"/>
      <c r="D12" s="7"/>
      <c r="E12" s="7"/>
      <c r="F12" s="92"/>
    </row>
    <row r="13" spans="1:6" ht="12.75" customHeight="1">
      <c r="A13" s="3"/>
      <c r="B13" s="94" t="s">
        <v>9</v>
      </c>
      <c r="C13" s="95"/>
      <c r="D13" s="95"/>
      <c r="E13" s="95"/>
      <c r="F13" s="92">
        <f>SUM(C13:E13)</f>
        <v>0</v>
      </c>
    </row>
    <row r="14" spans="1:6" ht="15" customHeight="1">
      <c r="A14" s="3"/>
      <c r="B14" s="94" t="s">
        <v>51</v>
      </c>
      <c r="C14" s="95">
        <f>48393.52+1970.97</f>
        <v>50364.49</v>
      </c>
      <c r="D14" s="95">
        <f>1413.17+115.16</f>
        <v>1528.3300000000002</v>
      </c>
      <c r="E14" s="95">
        <f>2584.25+1210.22</f>
        <v>3794.4700000000003</v>
      </c>
      <c r="F14" s="92">
        <f>SUM(C14:E14)</f>
        <v>55687.29</v>
      </c>
    </row>
    <row r="15" spans="1:6" ht="15" customHeight="1">
      <c r="A15" s="3"/>
      <c r="B15" s="94" t="s">
        <v>10</v>
      </c>
      <c r="C15" s="95">
        <v>64925.81</v>
      </c>
      <c r="D15" s="95">
        <v>3793.6</v>
      </c>
      <c r="E15" s="95">
        <v>3675.05</v>
      </c>
      <c r="F15" s="92">
        <f>SUM(C15:E15)</f>
        <v>72394.460000000006</v>
      </c>
    </row>
    <row r="16" spans="1:6" ht="15.75" customHeight="1">
      <c r="A16" s="3"/>
      <c r="B16" s="94" t="s">
        <v>11</v>
      </c>
      <c r="C16" s="95"/>
      <c r="D16" s="95"/>
      <c r="E16" s="95"/>
      <c r="F16" s="92">
        <f t="shared" ref="F16:F18" si="2">SUM(C16:E16)</f>
        <v>0</v>
      </c>
    </row>
    <row r="17" spans="1:9" ht="15" customHeight="1">
      <c r="A17" s="3"/>
      <c r="B17" s="94" t="s">
        <v>12</v>
      </c>
      <c r="C17" s="95"/>
      <c r="D17" s="95"/>
      <c r="E17" s="95"/>
      <c r="F17" s="92">
        <f t="shared" si="2"/>
        <v>0</v>
      </c>
    </row>
    <row r="18" spans="1:9" ht="15.75" customHeight="1">
      <c r="A18" s="3"/>
      <c r="B18" s="94" t="s">
        <v>13</v>
      </c>
      <c r="C18" s="95"/>
      <c r="D18" s="95"/>
      <c r="E18" s="95"/>
      <c r="F18" s="92">
        <f t="shared" si="2"/>
        <v>0</v>
      </c>
    </row>
    <row r="19" spans="1:9" ht="14.25" customHeight="1">
      <c r="A19" s="3"/>
      <c r="B19" s="94" t="s">
        <v>52</v>
      </c>
      <c r="C19" s="95">
        <f>68514.36</f>
        <v>68514.36</v>
      </c>
      <c r="D19" s="95">
        <f>1459.56</f>
        <v>1459.56</v>
      </c>
      <c r="E19" s="95">
        <f>11661.4</f>
        <v>11661.4</v>
      </c>
      <c r="F19" s="92">
        <f>SUM(C19:E19)</f>
        <v>81635.319999999992</v>
      </c>
    </row>
    <row r="20" spans="1:9" ht="15.75" customHeight="1">
      <c r="A20" s="3"/>
      <c r="B20" s="94" t="s">
        <v>14</v>
      </c>
      <c r="C20" s="95">
        <f>2932+55906.69</f>
        <v>58838.69</v>
      </c>
      <c r="D20" s="95">
        <f>171+3266.61</f>
        <v>3437.61</v>
      </c>
      <c r="E20" s="95">
        <f>166+3164.53</f>
        <v>3330.53</v>
      </c>
      <c r="F20" s="92">
        <f>SUM(C20:E20)</f>
        <v>65606.83</v>
      </c>
    </row>
    <row r="21" spans="1:9" ht="16.5" customHeight="1">
      <c r="A21" s="120" t="s">
        <v>15</v>
      </c>
      <c r="B21" s="121"/>
      <c r="C21" s="7">
        <f>550830.65+11361.59</f>
        <v>562192.24</v>
      </c>
      <c r="D21" s="7">
        <v>663.85</v>
      </c>
      <c r="E21" s="7">
        <v>643.11</v>
      </c>
      <c r="F21" s="92">
        <f>SUM(C21:E21)</f>
        <v>563499.19999999995</v>
      </c>
      <c r="G21" s="10"/>
    </row>
    <row r="22" spans="1:9" ht="16.5" customHeight="1">
      <c r="A22" s="120" t="s">
        <v>16</v>
      </c>
      <c r="B22" s="121"/>
      <c r="C22" s="7"/>
      <c r="D22" s="7"/>
      <c r="E22" s="7"/>
      <c r="F22" s="92"/>
    </row>
    <row r="23" spans="1:9" ht="15" customHeight="1">
      <c r="A23" s="3"/>
      <c r="B23" s="96" t="s">
        <v>17</v>
      </c>
      <c r="C23" s="7">
        <v>2900189</v>
      </c>
      <c r="D23" s="7">
        <v>222652</v>
      </c>
      <c r="E23" s="7">
        <v>347331</v>
      </c>
      <c r="F23" s="92">
        <f t="shared" ref="F23:F34" si="3">SUM(C23:E23)</f>
        <v>3470172</v>
      </c>
      <c r="G23" s="97"/>
      <c r="H23" s="98"/>
      <c r="I23" s="98"/>
    </row>
    <row r="24" spans="1:9" ht="15" customHeight="1">
      <c r="A24" s="3"/>
      <c r="B24" s="96" t="s">
        <v>18</v>
      </c>
      <c r="C24" s="7">
        <v>985160</v>
      </c>
      <c r="D24" s="7">
        <v>72128</v>
      </c>
      <c r="E24" s="7">
        <v>112459</v>
      </c>
      <c r="F24" s="92">
        <f t="shared" si="3"/>
        <v>1169747</v>
      </c>
      <c r="G24" s="97"/>
      <c r="H24" s="98"/>
      <c r="I24" s="98"/>
    </row>
    <row r="25" spans="1:9" ht="15" customHeight="1">
      <c r="A25" s="3"/>
      <c r="B25" s="96" t="s">
        <v>19</v>
      </c>
      <c r="C25" s="7">
        <v>192555</v>
      </c>
      <c r="D25" s="7">
        <v>15936</v>
      </c>
      <c r="E25" s="7">
        <v>26502</v>
      </c>
      <c r="F25" s="92">
        <f t="shared" si="3"/>
        <v>234993</v>
      </c>
      <c r="G25" s="97"/>
      <c r="H25" s="98"/>
      <c r="I25" s="98"/>
    </row>
    <row r="26" spans="1:9" ht="15" customHeight="1">
      <c r="A26" s="3"/>
      <c r="B26" s="96" t="s">
        <v>20</v>
      </c>
      <c r="C26" s="7"/>
      <c r="D26" s="7"/>
      <c r="E26" s="7"/>
      <c r="F26" s="92">
        <f t="shared" si="3"/>
        <v>0</v>
      </c>
      <c r="G26" s="97"/>
      <c r="H26" s="98"/>
      <c r="I26" s="98"/>
    </row>
    <row r="27" spans="1:9" ht="15" customHeight="1">
      <c r="A27" s="3"/>
      <c r="B27" s="96" t="s">
        <v>21</v>
      </c>
      <c r="C27" s="7">
        <v>168562</v>
      </c>
      <c r="D27" s="7">
        <v>5899</v>
      </c>
      <c r="E27" s="7">
        <v>11842</v>
      </c>
      <c r="F27" s="92">
        <f>SUM(C27:E27)</f>
        <v>186303</v>
      </c>
      <c r="G27" s="99"/>
      <c r="H27" s="98"/>
      <c r="I27" s="98"/>
    </row>
    <row r="28" spans="1:9">
      <c r="A28" s="120" t="s">
        <v>22</v>
      </c>
      <c r="B28" s="121"/>
      <c r="C28" s="7"/>
      <c r="D28" s="7"/>
      <c r="E28" s="7"/>
      <c r="F28" s="92">
        <f t="shared" si="3"/>
        <v>0</v>
      </c>
      <c r="G28" s="99">
        <f>SUM(F23:F27)</f>
        <v>5061215</v>
      </c>
      <c r="H28" s="98"/>
      <c r="I28" s="98"/>
    </row>
    <row r="29" spans="1:9" ht="15" customHeight="1">
      <c r="A29" s="100"/>
      <c r="B29" s="96" t="s">
        <v>23</v>
      </c>
      <c r="C29" s="95">
        <v>1442.02</v>
      </c>
      <c r="D29" s="95">
        <v>84.26</v>
      </c>
      <c r="E29" s="95">
        <v>81.62</v>
      </c>
      <c r="F29" s="92">
        <f>SUM(C29:E29)</f>
        <v>1607.9</v>
      </c>
      <c r="G29" s="99"/>
      <c r="H29" s="98"/>
      <c r="I29" s="98"/>
    </row>
    <row r="30" spans="1:9" ht="15" customHeight="1">
      <c r="A30" s="100"/>
      <c r="B30" s="96" t="s">
        <v>24</v>
      </c>
      <c r="C30" s="95">
        <f>89506.31+15712.31</f>
        <v>105218.62</v>
      </c>
      <c r="D30" s="95">
        <f>654.43+918.07</f>
        <v>1572.5</v>
      </c>
      <c r="E30" s="95">
        <f>7671.74+889.38</f>
        <v>8561.119999999999</v>
      </c>
      <c r="F30" s="92">
        <f>SUM(C30:E30)</f>
        <v>115352.23999999999</v>
      </c>
      <c r="G30" s="99"/>
      <c r="H30" s="98"/>
      <c r="I30" s="98"/>
    </row>
    <row r="31" spans="1:9" ht="15" customHeight="1">
      <c r="A31" s="100"/>
      <c r="B31" s="96" t="s">
        <v>25</v>
      </c>
      <c r="C31" s="95"/>
      <c r="D31" s="95"/>
      <c r="E31" s="95"/>
      <c r="F31" s="92">
        <f t="shared" si="3"/>
        <v>0</v>
      </c>
      <c r="G31" s="99"/>
      <c r="H31" s="98"/>
      <c r="I31" s="98"/>
    </row>
    <row r="32" spans="1:9" ht="18.75" customHeight="1">
      <c r="A32" s="100"/>
      <c r="B32" s="101" t="s">
        <v>26</v>
      </c>
      <c r="C32" s="95"/>
      <c r="D32" s="95"/>
      <c r="E32" s="95"/>
      <c r="F32" s="92">
        <f t="shared" si="3"/>
        <v>0</v>
      </c>
      <c r="G32" s="99"/>
      <c r="H32" s="98"/>
      <c r="I32" s="98"/>
    </row>
    <row r="33" spans="1:9">
      <c r="A33" s="120" t="s">
        <v>27</v>
      </c>
      <c r="B33" s="121"/>
      <c r="C33" s="7">
        <v>5556.63</v>
      </c>
      <c r="D33" s="7">
        <v>324.67</v>
      </c>
      <c r="E33" s="7">
        <v>314.52999999999997</v>
      </c>
      <c r="F33" s="92">
        <f t="shared" si="3"/>
        <v>6195.83</v>
      </c>
      <c r="G33" s="99"/>
      <c r="H33" s="98"/>
      <c r="I33" s="98"/>
    </row>
    <row r="34" spans="1:9">
      <c r="A34" s="120" t="s">
        <v>28</v>
      </c>
      <c r="B34" s="121"/>
      <c r="C34" s="7"/>
      <c r="D34" s="7"/>
      <c r="E34" s="7"/>
      <c r="F34" s="92">
        <f t="shared" si="3"/>
        <v>0</v>
      </c>
      <c r="G34" s="99"/>
      <c r="H34" s="98"/>
      <c r="I34" s="98"/>
    </row>
    <row r="35" spans="1:9">
      <c r="A35" s="120" t="s">
        <v>29</v>
      </c>
      <c r="B35" s="121"/>
      <c r="C35" s="7">
        <v>10456.98</v>
      </c>
      <c r="D35" s="7">
        <v>611</v>
      </c>
      <c r="E35" s="7">
        <v>591.9</v>
      </c>
      <c r="F35" s="92">
        <f>SUM(C35:E35)</f>
        <v>11659.88</v>
      </c>
      <c r="G35" s="99"/>
      <c r="H35" s="98"/>
      <c r="I35" s="98"/>
    </row>
    <row r="36" spans="1:9">
      <c r="A36" s="120" t="s">
        <v>30</v>
      </c>
      <c r="B36" s="121"/>
      <c r="C36" s="5">
        <f>35455.11-39</f>
        <v>35416.11</v>
      </c>
      <c r="D36" s="5">
        <v>2071.63</v>
      </c>
      <c r="E36" s="5">
        <v>2006.89</v>
      </c>
      <c r="F36" s="92">
        <f>SUM(C36:E36)</f>
        <v>39494.629999999997</v>
      </c>
      <c r="G36" s="99"/>
      <c r="H36" s="98"/>
      <c r="I36" s="98"/>
    </row>
    <row r="37" spans="1:9">
      <c r="A37" s="114" t="s">
        <v>31</v>
      </c>
      <c r="B37" s="114"/>
      <c r="C37" s="93">
        <f>SUM(C11:C36)</f>
        <v>5393346.9500000002</v>
      </c>
      <c r="D37" s="93">
        <f t="shared" ref="D37:F37" si="4">SUM(D11:D36)</f>
        <v>338196.01</v>
      </c>
      <c r="E37" s="93">
        <f t="shared" si="4"/>
        <v>539344.62000000011</v>
      </c>
      <c r="F37" s="4">
        <f t="shared" si="4"/>
        <v>6270887.5800000001</v>
      </c>
      <c r="G37" s="99"/>
      <c r="H37" s="98"/>
      <c r="I37" s="98"/>
    </row>
    <row r="38" spans="1:9">
      <c r="A38" s="114" t="s">
        <v>32</v>
      </c>
      <c r="B38" s="114"/>
      <c r="C38" s="93">
        <f>C9-C37</f>
        <v>-301213.62000000011</v>
      </c>
      <c r="D38" s="93">
        <f t="shared" ref="D38:F38" si="5">D9-D37</f>
        <v>-42017.870000000054</v>
      </c>
      <c r="E38" s="93">
        <f t="shared" si="5"/>
        <v>-252916.60000000015</v>
      </c>
      <c r="F38" s="4">
        <f t="shared" si="5"/>
        <v>-596148.09000000078</v>
      </c>
      <c r="G38" s="10"/>
    </row>
    <row r="39" spans="1:9" ht="12" customHeight="1">
      <c r="A39" s="114" t="s">
        <v>33</v>
      </c>
      <c r="B39" s="114"/>
      <c r="C39" s="93"/>
      <c r="D39" s="2"/>
      <c r="E39" s="2"/>
      <c r="F39" s="91"/>
    </row>
    <row r="40" spans="1:9">
      <c r="A40" s="120" t="s">
        <v>34</v>
      </c>
      <c r="B40" s="120"/>
      <c r="C40" s="6"/>
      <c r="D40" s="6"/>
      <c r="E40" s="1"/>
      <c r="F40" s="6">
        <v>0</v>
      </c>
    </row>
    <row r="41" spans="1:9">
      <c r="A41" s="120" t="s">
        <v>36</v>
      </c>
      <c r="B41" s="120"/>
      <c r="C41" s="7"/>
      <c r="D41" s="7"/>
      <c r="E41" s="1"/>
      <c r="F41" s="7">
        <v>0</v>
      </c>
    </row>
    <row r="42" spans="1:9" ht="12" customHeight="1">
      <c r="A42" s="120" t="s">
        <v>37</v>
      </c>
      <c r="B42" s="120"/>
      <c r="C42" s="7"/>
      <c r="D42" s="7"/>
      <c r="E42" s="1"/>
      <c r="F42" s="7">
        <v>0</v>
      </c>
    </row>
    <row r="43" spans="1:9" ht="14.25" customHeight="1">
      <c r="A43" s="3"/>
      <c r="B43" s="108" t="s">
        <v>55</v>
      </c>
      <c r="C43" s="7">
        <v>110351.96</v>
      </c>
      <c r="D43" s="7">
        <v>6447.83</v>
      </c>
      <c r="E43" s="1">
        <v>6246.34</v>
      </c>
      <c r="F43" s="7">
        <f>SUM(C43:E43)</f>
        <v>123046.13</v>
      </c>
    </row>
    <row r="44" spans="1:9" ht="14.25" customHeight="1">
      <c r="A44" s="3"/>
      <c r="B44" s="102" t="s">
        <v>39</v>
      </c>
      <c r="C44" s="7">
        <v>6472.03</v>
      </c>
      <c r="D44" s="7">
        <v>378.16</v>
      </c>
      <c r="E44" s="1">
        <v>366.34</v>
      </c>
      <c r="F44" s="7">
        <f>SUM(C44:E44)</f>
        <v>7216.53</v>
      </c>
    </row>
    <row r="45" spans="1:9" ht="14.25" customHeight="1">
      <c r="A45" s="3"/>
      <c r="B45" s="102" t="s">
        <v>35</v>
      </c>
      <c r="C45" s="7">
        <f>25526.36</f>
        <v>25526.36</v>
      </c>
      <c r="D45" s="7">
        <v>1491.5</v>
      </c>
      <c r="E45" s="1">
        <v>1444.89</v>
      </c>
      <c r="F45" s="7">
        <f>SUM(C45:E45)</f>
        <v>28462.75</v>
      </c>
    </row>
    <row r="46" spans="1:9">
      <c r="A46" s="120" t="s">
        <v>40</v>
      </c>
      <c r="B46" s="120"/>
      <c r="C46" s="7"/>
      <c r="D46" s="7"/>
      <c r="E46" s="1"/>
      <c r="F46" s="7">
        <v>0</v>
      </c>
    </row>
    <row r="47" spans="1:9">
      <c r="A47" s="114" t="s">
        <v>41</v>
      </c>
      <c r="B47" s="114"/>
      <c r="C47" s="103">
        <f>SUM(C40:C46)</f>
        <v>142350.35</v>
      </c>
      <c r="D47" s="103">
        <f>SUM(D40:D46)</f>
        <v>8317.49</v>
      </c>
      <c r="E47" s="104">
        <f t="shared" ref="E47" si="6">SUM(E40:E46)</f>
        <v>8057.5700000000006</v>
      </c>
      <c r="F47" s="103">
        <f>F43+F44+F45</f>
        <v>158725.41</v>
      </c>
    </row>
    <row r="48" spans="1:9" ht="11.25" customHeight="1">
      <c r="A48" s="115" t="s">
        <v>42</v>
      </c>
      <c r="B48" s="115"/>
      <c r="C48" s="105"/>
      <c r="D48" s="106"/>
      <c r="E48" s="106"/>
      <c r="F48" s="107"/>
    </row>
    <row r="49" spans="1:6">
      <c r="A49" s="116" t="s">
        <v>43</v>
      </c>
      <c r="B49" s="116"/>
      <c r="C49" s="6">
        <v>0</v>
      </c>
      <c r="D49" s="6"/>
      <c r="E49" s="6"/>
      <c r="F49" s="6">
        <v>0</v>
      </c>
    </row>
    <row r="50" spans="1:6">
      <c r="A50" s="117" t="s">
        <v>44</v>
      </c>
      <c r="B50" s="117"/>
      <c r="C50" s="5">
        <v>0</v>
      </c>
      <c r="D50" s="5"/>
      <c r="E50" s="5"/>
      <c r="F50" s="5">
        <v>0</v>
      </c>
    </row>
    <row r="51" spans="1:6">
      <c r="A51" s="114" t="s">
        <v>45</v>
      </c>
      <c r="B51" s="114"/>
      <c r="C51" s="4">
        <v>0</v>
      </c>
      <c r="D51" s="4"/>
      <c r="E51" s="4"/>
      <c r="F51" s="4">
        <v>0</v>
      </c>
    </row>
    <row r="52" spans="1:6">
      <c r="A52" s="114" t="s">
        <v>46</v>
      </c>
      <c r="B52" s="114"/>
      <c r="C52" s="4">
        <f>C38-C47</f>
        <v>-443563.97000000009</v>
      </c>
      <c r="D52" s="4">
        <f t="shared" ref="D52:E52" si="7">D38-D47</f>
        <v>-50335.360000000052</v>
      </c>
      <c r="E52" s="4">
        <f t="shared" si="7"/>
        <v>-260974.17000000016</v>
      </c>
      <c r="F52" s="4">
        <f>F38-F47</f>
        <v>-754873.50000000081</v>
      </c>
    </row>
    <row r="53" spans="1:6" ht="13.5" customHeight="1">
      <c r="A53" s="112" t="s">
        <v>47</v>
      </c>
      <c r="B53" s="113"/>
      <c r="C53" s="6">
        <v>0</v>
      </c>
      <c r="D53" s="6"/>
      <c r="E53" s="6"/>
      <c r="F53" s="6"/>
    </row>
    <row r="54" spans="1:6" ht="12.75" customHeight="1">
      <c r="A54" s="118" t="s">
        <v>48</v>
      </c>
      <c r="B54" s="119"/>
      <c r="C54" s="7"/>
      <c r="D54" s="7"/>
      <c r="E54" s="7"/>
      <c r="F54" s="7">
        <v>0</v>
      </c>
    </row>
    <row r="55" spans="1:6">
      <c r="A55" s="114" t="s">
        <v>49</v>
      </c>
      <c r="B55" s="114"/>
      <c r="C55" s="4">
        <f>C52</f>
        <v>-443563.97000000009</v>
      </c>
      <c r="D55" s="4">
        <f t="shared" ref="D55:E55" si="8">D52</f>
        <v>-50335.360000000052</v>
      </c>
      <c r="E55" s="4">
        <f t="shared" si="8"/>
        <v>-260974.17000000016</v>
      </c>
      <c r="F55" s="4">
        <f>F52</f>
        <v>-754873.50000000081</v>
      </c>
    </row>
  </sheetData>
  <mergeCells count="34">
    <mergeCell ref="A3:B4"/>
    <mergeCell ref="C2:F2"/>
    <mergeCell ref="C1:F1"/>
    <mergeCell ref="C3:F3"/>
    <mergeCell ref="A22:B22"/>
    <mergeCell ref="A5:B5"/>
    <mergeCell ref="A6:B6"/>
    <mergeCell ref="A7:B7"/>
    <mergeCell ref="A9:B9"/>
    <mergeCell ref="A10:B10"/>
    <mergeCell ref="A11:B11"/>
    <mergeCell ref="A12:B12"/>
    <mergeCell ref="A21:B21"/>
    <mergeCell ref="A46:B46"/>
    <mergeCell ref="A28:B28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53:B53"/>
    <mergeCell ref="A55:B55"/>
    <mergeCell ref="A47:B47"/>
    <mergeCell ref="A48:B48"/>
    <mergeCell ref="A49:B49"/>
    <mergeCell ref="A50:B50"/>
    <mergeCell ref="A51:B51"/>
    <mergeCell ref="A52:B52"/>
    <mergeCell ref="A54:B54"/>
  </mergeCells>
  <pageMargins left="0.31496062992125984" right="0.19685039370078741" top="0.15748031496062992" bottom="0.17" header="0.39370078740157483" footer="0.19685039370078741"/>
  <pageSetup paperSize="8" fitToHeight="2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 sizeWithCells="1">
              <from>
                <xdr:col>1</xdr:col>
                <xdr:colOff>160020</xdr:colOff>
                <xdr:row>0</xdr:row>
                <xdr:rowOff>60960</xdr:rowOff>
              </from>
              <to>
                <xdr:col>1</xdr:col>
                <xdr:colOff>975360</xdr:colOff>
                <xdr:row>1</xdr:row>
                <xdr:rowOff>167640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63"/>
  <sheetViews>
    <sheetView workbookViewId="0">
      <selection activeCell="A40" sqref="A1:XFD1048576"/>
    </sheetView>
  </sheetViews>
  <sheetFormatPr defaultColWidth="9.109375" defaultRowHeight="14.4"/>
  <cols>
    <col min="1" max="1" width="3.88671875" style="11" customWidth="1"/>
    <col min="2" max="2" width="70.5546875" style="11" customWidth="1"/>
    <col min="3" max="3" width="21.44140625" style="11" customWidth="1"/>
    <col min="4" max="4" width="15" style="11" customWidth="1"/>
    <col min="5" max="5" width="12.33203125" style="11" customWidth="1"/>
    <col min="6" max="6" width="16.44140625" style="11" customWidth="1"/>
    <col min="7" max="7" width="13.44140625" style="11" customWidth="1"/>
    <col min="8" max="8" width="21.44140625" style="11" customWidth="1"/>
    <col min="9" max="9" width="13.88671875" style="11" customWidth="1"/>
    <col min="10" max="16384" width="9.109375" style="11"/>
  </cols>
  <sheetData>
    <row r="1" spans="1:9" ht="13.5" customHeight="1">
      <c r="A1" s="17"/>
      <c r="B1" s="18"/>
      <c r="C1" s="137" t="s">
        <v>75</v>
      </c>
      <c r="D1" s="138"/>
      <c r="E1" s="138"/>
      <c r="F1" s="138"/>
      <c r="G1" s="138"/>
      <c r="H1" s="138"/>
      <c r="I1" s="139"/>
    </row>
    <row r="2" spans="1:9" ht="15" customHeight="1">
      <c r="A2" s="19"/>
      <c r="B2" s="20"/>
      <c r="C2" s="137" t="s">
        <v>50</v>
      </c>
      <c r="D2" s="140"/>
      <c r="E2" s="140"/>
      <c r="F2" s="140"/>
      <c r="G2" s="140"/>
      <c r="H2" s="140"/>
      <c r="I2" s="141"/>
    </row>
    <row r="3" spans="1:9" ht="12.75" customHeight="1">
      <c r="A3" s="142"/>
      <c r="B3" s="142"/>
      <c r="C3" s="142" t="s">
        <v>53</v>
      </c>
      <c r="D3" s="142"/>
      <c r="E3" s="142"/>
      <c r="F3" s="142"/>
      <c r="G3" s="142"/>
      <c r="H3" s="142"/>
      <c r="I3" s="142"/>
    </row>
    <row r="4" spans="1:9" ht="34.5" customHeight="1">
      <c r="A4" s="142"/>
      <c r="B4" s="142"/>
      <c r="C4" s="21" t="s">
        <v>59</v>
      </c>
      <c r="D4" s="21" t="s">
        <v>60</v>
      </c>
      <c r="E4" s="21" t="s">
        <v>61</v>
      </c>
      <c r="F4" s="21" t="s">
        <v>62</v>
      </c>
      <c r="G4" s="21" t="s">
        <v>63</v>
      </c>
      <c r="H4" s="21" t="s">
        <v>64</v>
      </c>
      <c r="I4" s="21" t="s">
        <v>0</v>
      </c>
    </row>
    <row r="5" spans="1:9" ht="13.5" customHeight="1">
      <c r="A5" s="134" t="s">
        <v>1</v>
      </c>
      <c r="B5" s="134"/>
      <c r="C5" s="22"/>
      <c r="D5" s="22"/>
      <c r="E5" s="22"/>
      <c r="F5" s="22"/>
      <c r="G5" s="22"/>
      <c r="H5" s="23"/>
      <c r="I5" s="22"/>
    </row>
    <row r="6" spans="1:9" ht="16.5" customHeight="1">
      <c r="A6" s="132" t="s">
        <v>2</v>
      </c>
      <c r="B6" s="133"/>
      <c r="C6" s="24">
        <f>15447776.88-21900</f>
        <v>15425876.880000001</v>
      </c>
      <c r="D6" s="24">
        <v>1875173.96</v>
      </c>
      <c r="E6" s="24">
        <v>797643.5</v>
      </c>
      <c r="F6" s="35">
        <v>679244.80000000005</v>
      </c>
      <c r="G6" s="24">
        <v>297503.03999999998</v>
      </c>
      <c r="H6" s="25">
        <v>837576</v>
      </c>
      <c r="I6" s="24">
        <f>SUM(C6:H6)</f>
        <v>19913018.18</v>
      </c>
    </row>
    <row r="7" spans="1:9" ht="13.5" customHeight="1">
      <c r="A7" s="136" t="s">
        <v>3</v>
      </c>
      <c r="B7" s="136"/>
      <c r="C7" s="24"/>
      <c r="D7" s="24"/>
      <c r="E7" s="24"/>
      <c r="F7" s="24"/>
      <c r="G7" s="24"/>
      <c r="H7" s="26"/>
      <c r="I7" s="24">
        <f>SUM(C7:H7)</f>
        <v>0</v>
      </c>
    </row>
    <row r="8" spans="1:9" ht="10.5" customHeight="1">
      <c r="A8" s="12"/>
      <c r="B8" s="27" t="s">
        <v>4</v>
      </c>
      <c r="C8" s="24">
        <f>86055.47+929575.37+21900+1756</f>
        <v>1039286.84</v>
      </c>
      <c r="D8" s="24">
        <f>8861.06+1713.04+135957.5</f>
        <v>146531.6</v>
      </c>
      <c r="E8" s="24">
        <v>4193.84</v>
      </c>
      <c r="F8" s="24">
        <f>2352.69+1218.63</f>
        <v>3571.32</v>
      </c>
      <c r="G8" s="24">
        <f>1564.21</f>
        <v>1564.21</v>
      </c>
      <c r="H8" s="28">
        <v>4403.8</v>
      </c>
      <c r="I8" s="24">
        <f>SUM(C8:H8)</f>
        <v>1199551.6100000001</v>
      </c>
    </row>
    <row r="9" spans="1:9" ht="15.75" customHeight="1">
      <c r="A9" s="134" t="s">
        <v>5</v>
      </c>
      <c r="B9" s="134"/>
      <c r="C9" s="29">
        <f>SUM(C6:C8)</f>
        <v>16465163.720000001</v>
      </c>
      <c r="D9" s="29">
        <f t="shared" ref="D9:G9" si="0">SUM(D6:D8)</f>
        <v>2021705.56</v>
      </c>
      <c r="E9" s="29">
        <f t="shared" si="0"/>
        <v>801837.34</v>
      </c>
      <c r="F9" s="29">
        <f t="shared" si="0"/>
        <v>682816.12</v>
      </c>
      <c r="G9" s="29">
        <f t="shared" si="0"/>
        <v>299067.25</v>
      </c>
      <c r="H9" s="30">
        <f>SUM(H6:H8)</f>
        <v>841979.8</v>
      </c>
      <c r="I9" s="29">
        <f>SUM(I6:I8)</f>
        <v>21112569.789999999</v>
      </c>
    </row>
    <row r="10" spans="1:9" ht="14.25" customHeight="1">
      <c r="A10" s="134" t="s">
        <v>6</v>
      </c>
      <c r="B10" s="134"/>
      <c r="C10" s="31"/>
      <c r="D10" s="31"/>
      <c r="E10" s="31"/>
      <c r="F10" s="31"/>
      <c r="G10" s="31"/>
      <c r="H10" s="32"/>
      <c r="I10" s="33"/>
    </row>
    <row r="11" spans="1:9" ht="13.5" customHeight="1">
      <c r="A11" s="136" t="s">
        <v>7</v>
      </c>
      <c r="B11" s="136"/>
      <c r="C11" s="34">
        <v>709677</v>
      </c>
      <c r="D11" s="34">
        <v>22143</v>
      </c>
      <c r="E11" s="35">
        <v>50403</v>
      </c>
      <c r="F11" s="34">
        <v>32968</v>
      </c>
      <c r="G11" s="34">
        <v>10185</v>
      </c>
      <c r="H11" s="36">
        <v>729</v>
      </c>
      <c r="I11" s="37">
        <f>SUM(C11:H11)</f>
        <v>826105</v>
      </c>
    </row>
    <row r="12" spans="1:9" ht="13.5" customHeight="1">
      <c r="A12" s="136" t="s">
        <v>8</v>
      </c>
      <c r="B12" s="136"/>
      <c r="C12" s="24"/>
      <c r="D12" s="24"/>
      <c r="E12" s="38"/>
      <c r="F12" s="24"/>
      <c r="G12" s="24"/>
      <c r="H12" s="39"/>
      <c r="I12" s="40">
        <v>0</v>
      </c>
    </row>
    <row r="13" spans="1:9" ht="12.75" customHeight="1">
      <c r="A13" s="12"/>
      <c r="B13" s="13" t="s">
        <v>9</v>
      </c>
      <c r="C13" s="14"/>
      <c r="D13" s="14"/>
      <c r="E13" s="15"/>
      <c r="F13" s="14"/>
      <c r="G13" s="14"/>
      <c r="H13" s="14"/>
      <c r="I13" s="40">
        <f t="shared" ref="I13:I21" si="1">SUM(C13:H13)</f>
        <v>0</v>
      </c>
    </row>
    <row r="14" spans="1:9" ht="14.25" customHeight="1">
      <c r="A14" s="12"/>
      <c r="B14" s="13" t="s">
        <v>51</v>
      </c>
      <c r="C14" s="14">
        <f>329160.68+6644.75+7188.18</f>
        <v>342993.61</v>
      </c>
      <c r="D14" s="14">
        <f>27754.28+5391.81+43404.47</f>
        <v>76550.559999999998</v>
      </c>
      <c r="E14" s="15">
        <f>3152.7+1305.6+6740.17</f>
        <v>11198.47</v>
      </c>
      <c r="F14" s="14">
        <f>17758+263.92</f>
        <v>18021.919999999998</v>
      </c>
      <c r="G14" s="14">
        <f>11367.53+116.36</f>
        <v>11483.890000000001</v>
      </c>
      <c r="H14" s="14">
        <f>479.85+5885.75+326.3</f>
        <v>6691.9000000000005</v>
      </c>
      <c r="I14" s="40">
        <f t="shared" si="1"/>
        <v>466940.35</v>
      </c>
    </row>
    <row r="15" spans="1:9" ht="12.75" customHeight="1">
      <c r="A15" s="12"/>
      <c r="B15" s="13" t="s">
        <v>10</v>
      </c>
      <c r="C15" s="14">
        <f>209991.31-22664</f>
        <v>187327.31</v>
      </c>
      <c r="D15" s="14">
        <v>25804.35</v>
      </c>
      <c r="E15" s="15">
        <v>10234.799999999999</v>
      </c>
      <c r="F15" s="14">
        <v>8693.66</v>
      </c>
      <c r="G15" s="14">
        <v>3833.11</v>
      </c>
      <c r="H15" s="16">
        <v>10748.52</v>
      </c>
      <c r="I15" s="40">
        <f t="shared" si="1"/>
        <v>246641.74999999997</v>
      </c>
    </row>
    <row r="16" spans="1:9" ht="15" customHeight="1">
      <c r="A16" s="12"/>
      <c r="B16" s="13" t="s">
        <v>11</v>
      </c>
      <c r="C16" s="14"/>
      <c r="D16" s="14"/>
      <c r="E16" s="15"/>
      <c r="F16" s="14"/>
      <c r="G16" s="14"/>
      <c r="H16" s="14"/>
      <c r="I16" s="40">
        <f t="shared" si="1"/>
        <v>0</v>
      </c>
    </row>
    <row r="17" spans="1:11" ht="12" customHeight="1">
      <c r="A17" s="12"/>
      <c r="B17" s="13" t="s">
        <v>12</v>
      </c>
      <c r="C17" s="14"/>
      <c r="D17" s="14"/>
      <c r="E17" s="15"/>
      <c r="F17" s="14"/>
      <c r="G17" s="14"/>
      <c r="H17" s="14"/>
      <c r="I17" s="40">
        <f t="shared" si="1"/>
        <v>0</v>
      </c>
    </row>
    <row r="18" spans="1:11" ht="12.75" customHeight="1">
      <c r="A18" s="12"/>
      <c r="B18" s="13" t="s">
        <v>13</v>
      </c>
      <c r="C18" s="14"/>
      <c r="D18" s="14"/>
      <c r="E18" s="15"/>
      <c r="F18" s="14"/>
      <c r="G18" s="14"/>
      <c r="H18" s="14"/>
      <c r="I18" s="40">
        <f t="shared" si="1"/>
        <v>0</v>
      </c>
    </row>
    <row r="19" spans="1:11" ht="13.5" customHeight="1">
      <c r="A19" s="12"/>
      <c r="B19" s="110" t="s">
        <v>56</v>
      </c>
      <c r="C19" s="14">
        <f>219350.83+218737.5</f>
        <v>438088.32999999996</v>
      </c>
      <c r="D19" s="14"/>
      <c r="E19" s="15"/>
      <c r="F19" s="14">
        <f>12586.22</f>
        <v>12586.22</v>
      </c>
      <c r="G19" s="14">
        <f>7560.3</f>
        <v>7560.3</v>
      </c>
      <c r="H19" s="14"/>
      <c r="I19" s="40">
        <f t="shared" si="1"/>
        <v>458234.84999999992</v>
      </c>
    </row>
    <row r="20" spans="1:11" ht="12" customHeight="1">
      <c r="A20" s="12"/>
      <c r="B20" s="13" t="s">
        <v>14</v>
      </c>
      <c r="C20" s="14">
        <f>3149574+9483+4691+180820.56+22664</f>
        <v>3367232.56</v>
      </c>
      <c r="D20" s="14">
        <f>56836+609715+325810+22219.76</f>
        <v>1014580.76</v>
      </c>
      <c r="E20" s="15">
        <f>462+8813</f>
        <v>9275</v>
      </c>
      <c r="F20" s="14">
        <f>393+7485.98</f>
        <v>7878.98</v>
      </c>
      <c r="G20" s="14">
        <f>173+3300.64</f>
        <v>3473.64</v>
      </c>
      <c r="H20" s="16">
        <f>485+9255.4</f>
        <v>9740.4</v>
      </c>
      <c r="I20" s="40">
        <f t="shared" si="1"/>
        <v>4412181.3400000008</v>
      </c>
    </row>
    <row r="21" spans="1:11" ht="15" customHeight="1">
      <c r="A21" s="135" t="s">
        <v>15</v>
      </c>
      <c r="B21" s="135"/>
      <c r="C21" s="24">
        <f>183385+36747.11+3489-2558</f>
        <v>221063.11</v>
      </c>
      <c r="D21" s="24">
        <f>4515.59+7224</f>
        <v>11739.59</v>
      </c>
      <c r="E21" s="38">
        <f>159811+1791.02</f>
        <v>161602.01999999999</v>
      </c>
      <c r="F21" s="24">
        <f>11484+1521.33</f>
        <v>13005.33</v>
      </c>
      <c r="G21" s="24">
        <f>11484+670.77</f>
        <v>12154.77</v>
      </c>
      <c r="H21" s="16">
        <f>6225+1880.82</f>
        <v>8105.82</v>
      </c>
      <c r="I21" s="40">
        <f t="shared" si="1"/>
        <v>427670.64</v>
      </c>
    </row>
    <row r="22" spans="1:11" ht="12.75" customHeight="1">
      <c r="A22" s="135" t="s">
        <v>16</v>
      </c>
      <c r="B22" s="135"/>
      <c r="C22" s="24"/>
      <c r="D22" s="24"/>
      <c r="E22" s="38"/>
      <c r="F22" s="24"/>
      <c r="G22" s="24"/>
      <c r="H22" s="24"/>
      <c r="I22" s="40"/>
    </row>
    <row r="23" spans="1:11" ht="15" customHeight="1">
      <c r="A23" s="12"/>
      <c r="B23" s="41" t="s">
        <v>17</v>
      </c>
      <c r="C23" s="24">
        <v>6060611</v>
      </c>
      <c r="D23" s="24">
        <v>495418</v>
      </c>
      <c r="E23" s="38">
        <v>341528</v>
      </c>
      <c r="F23" s="24">
        <f>137022+159552</f>
        <v>296574</v>
      </c>
      <c r="G23" s="24">
        <v>225844</v>
      </c>
      <c r="H23" s="24">
        <f>175906+289042</f>
        <v>464948</v>
      </c>
      <c r="I23" s="40">
        <f t="shared" ref="I23:I37" si="2">SUM(C23:H23)</f>
        <v>7884923</v>
      </c>
    </row>
    <row r="24" spans="1:11" ht="15" customHeight="1">
      <c r="A24" s="12"/>
      <c r="B24" s="41" t="s">
        <v>18</v>
      </c>
      <c r="C24" s="24">
        <v>2086738</v>
      </c>
      <c r="D24" s="24">
        <v>178190</v>
      </c>
      <c r="E24" s="38">
        <v>118206</v>
      </c>
      <c r="F24" s="24">
        <f>44405+45907</f>
        <v>90312</v>
      </c>
      <c r="G24" s="24">
        <v>76157</v>
      </c>
      <c r="H24" s="24">
        <f>56401+93088</f>
        <v>149489</v>
      </c>
      <c r="I24" s="40">
        <f t="shared" si="2"/>
        <v>2699092</v>
      </c>
    </row>
    <row r="25" spans="1:11" ht="15" customHeight="1">
      <c r="A25" s="12"/>
      <c r="B25" s="41" t="s">
        <v>19</v>
      </c>
      <c r="C25" s="24">
        <v>417165</v>
      </c>
      <c r="D25" s="24">
        <v>34285</v>
      </c>
      <c r="E25" s="38">
        <v>23016</v>
      </c>
      <c r="F25" s="24">
        <f>10215+9461</f>
        <v>19676</v>
      </c>
      <c r="G25" s="24">
        <v>15297</v>
      </c>
      <c r="H25" s="24">
        <f>11936+18743</f>
        <v>30679</v>
      </c>
      <c r="I25" s="40">
        <f t="shared" si="2"/>
        <v>540118</v>
      </c>
    </row>
    <row r="26" spans="1:11" ht="15" customHeight="1">
      <c r="A26" s="12"/>
      <c r="B26" s="41" t="s">
        <v>20</v>
      </c>
      <c r="C26" s="24"/>
      <c r="D26" s="24"/>
      <c r="E26" s="24"/>
      <c r="F26" s="24"/>
      <c r="G26" s="24"/>
      <c r="H26" s="24"/>
      <c r="I26" s="40">
        <f t="shared" si="2"/>
        <v>0</v>
      </c>
    </row>
    <row r="27" spans="1:11" ht="15" customHeight="1">
      <c r="A27" s="12"/>
      <c r="B27" s="41" t="s">
        <v>21</v>
      </c>
      <c r="C27" s="24">
        <v>368510</v>
      </c>
      <c r="D27" s="24">
        <v>14503</v>
      </c>
      <c r="E27" s="38">
        <v>17659</v>
      </c>
      <c r="F27" s="24">
        <f>4589+6700</f>
        <v>11289</v>
      </c>
      <c r="G27" s="24">
        <v>7581</v>
      </c>
      <c r="H27" s="39">
        <f>9863+4996</f>
        <v>14859</v>
      </c>
      <c r="I27" s="40">
        <f t="shared" si="2"/>
        <v>434401</v>
      </c>
      <c r="J27" s="53"/>
    </row>
    <row r="28" spans="1:11" ht="13.5" customHeight="1">
      <c r="A28" s="135" t="s">
        <v>22</v>
      </c>
      <c r="B28" s="135"/>
      <c r="C28" s="24"/>
      <c r="D28" s="24"/>
      <c r="E28" s="24"/>
      <c r="F28" s="24"/>
      <c r="G28" s="24"/>
      <c r="H28" s="24"/>
      <c r="I28" s="40">
        <f t="shared" si="2"/>
        <v>0</v>
      </c>
    </row>
    <row r="29" spans="1:11" ht="12" customHeight="1">
      <c r="A29" s="42"/>
      <c r="B29" s="41" t="s">
        <v>23</v>
      </c>
      <c r="C29" s="14">
        <v>4663.96</v>
      </c>
      <c r="D29" s="14">
        <f>151388.22+573.12</f>
        <v>151961.34</v>
      </c>
      <c r="E29" s="15">
        <v>227.32</v>
      </c>
      <c r="F29" s="14">
        <v>193.09</v>
      </c>
      <c r="G29" s="14">
        <v>85.13</v>
      </c>
      <c r="H29" s="16">
        <v>238.73</v>
      </c>
      <c r="I29" s="40">
        <f t="shared" si="2"/>
        <v>157369.57</v>
      </c>
      <c r="K29" s="53"/>
    </row>
    <row r="30" spans="1:11" ht="12" customHeight="1">
      <c r="A30" s="42"/>
      <c r="B30" s="41" t="s">
        <v>24</v>
      </c>
      <c r="C30" s="14">
        <f>633785.9+50818.74+669</f>
        <v>685273.64</v>
      </c>
      <c r="D30" s="14">
        <f>3240+6244.76</f>
        <v>9484.76</v>
      </c>
      <c r="E30" s="15">
        <v>2476.86</v>
      </c>
      <c r="F30" s="14">
        <f>10589+12211.65</f>
        <v>22800.65</v>
      </c>
      <c r="G30" s="14">
        <f>4330+927.63</f>
        <v>5257.63</v>
      </c>
      <c r="H30" s="16">
        <v>2601.19</v>
      </c>
      <c r="I30" s="40">
        <f t="shared" si="2"/>
        <v>727894.73</v>
      </c>
    </row>
    <row r="31" spans="1:11" ht="14.25" customHeight="1">
      <c r="A31" s="42"/>
      <c r="B31" s="41" t="s">
        <v>25</v>
      </c>
      <c r="C31" s="14"/>
      <c r="D31" s="14"/>
      <c r="E31" s="15"/>
      <c r="F31" s="14"/>
      <c r="G31" s="14"/>
      <c r="H31" s="14"/>
      <c r="I31" s="40">
        <f t="shared" si="2"/>
        <v>0</v>
      </c>
    </row>
    <row r="32" spans="1:11" ht="33" customHeight="1">
      <c r="A32" s="42"/>
      <c r="B32" s="43" t="s">
        <v>26</v>
      </c>
      <c r="C32" s="14"/>
      <c r="D32" s="14"/>
      <c r="E32" s="15"/>
      <c r="F32" s="14"/>
      <c r="G32" s="14"/>
      <c r="H32" s="14"/>
      <c r="I32" s="40">
        <f t="shared" si="2"/>
        <v>0</v>
      </c>
    </row>
    <row r="33" spans="1:9" ht="24.75" customHeight="1">
      <c r="A33" s="135" t="s">
        <v>54</v>
      </c>
      <c r="B33" s="135"/>
      <c r="C33" s="24">
        <v>17971.95</v>
      </c>
      <c r="D33" s="24">
        <v>2208.4499999999998</v>
      </c>
      <c r="E33" s="38">
        <v>875.94</v>
      </c>
      <c r="F33" s="24">
        <f>744.04</f>
        <v>744.04</v>
      </c>
      <c r="G33" s="24">
        <v>328.05</v>
      </c>
      <c r="H33" s="24">
        <v>919.9</v>
      </c>
      <c r="I33" s="40">
        <f t="shared" si="2"/>
        <v>23048.33</v>
      </c>
    </row>
    <row r="34" spans="1:9" ht="13.5" customHeight="1">
      <c r="A34" s="135" t="s">
        <v>28</v>
      </c>
      <c r="B34" s="135"/>
      <c r="C34" s="24"/>
      <c r="D34" s="24"/>
      <c r="E34" s="38"/>
      <c r="F34" s="24"/>
      <c r="G34" s="24"/>
      <c r="H34" s="24"/>
      <c r="I34" s="40">
        <f t="shared" si="2"/>
        <v>0</v>
      </c>
    </row>
    <row r="35" spans="1:9" ht="11.25" customHeight="1">
      <c r="A35" s="135" t="s">
        <v>29</v>
      </c>
      <c r="B35" s="135"/>
      <c r="C35" s="24">
        <f>33821.31-18626</f>
        <v>15195.309999999998</v>
      </c>
      <c r="D35" s="24">
        <v>4156.0600000000004</v>
      </c>
      <c r="E35" s="38">
        <v>1648.42</v>
      </c>
      <c r="F35" s="24">
        <v>1400.2</v>
      </c>
      <c r="G35" s="24">
        <v>617.36</v>
      </c>
      <c r="H35" s="24">
        <v>1731.16</v>
      </c>
      <c r="I35" s="40">
        <f>SUM(C35:H35)</f>
        <v>24748.510000000002</v>
      </c>
    </row>
    <row r="36" spans="1:9" ht="12.75" customHeight="1">
      <c r="A36" s="135" t="s">
        <v>30</v>
      </c>
      <c r="B36" s="135"/>
      <c r="C36" s="24">
        <f>114673.43+27238-1</f>
        <v>141910.43</v>
      </c>
      <c r="D36" s="24">
        <v>14091.41</v>
      </c>
      <c r="E36" s="38">
        <v>5589.09</v>
      </c>
      <c r="F36" s="24">
        <v>4747.49</v>
      </c>
      <c r="G36" s="24">
        <v>2093.21</v>
      </c>
      <c r="H36" s="44">
        <v>5869.09</v>
      </c>
      <c r="I36" s="40">
        <f t="shared" si="2"/>
        <v>174300.71999999997</v>
      </c>
    </row>
    <row r="37" spans="1:9" ht="15" customHeight="1">
      <c r="A37" s="134" t="s">
        <v>31</v>
      </c>
      <c r="B37" s="134"/>
      <c r="C37" s="29">
        <f>SUM(C11:C36)</f>
        <v>15064421.210000003</v>
      </c>
      <c r="D37" s="29">
        <f t="shared" ref="D37:H37" si="3">SUM(D11:D36)</f>
        <v>2055116.28</v>
      </c>
      <c r="E37" s="29">
        <f t="shared" si="3"/>
        <v>753939.91999999993</v>
      </c>
      <c r="F37" s="29">
        <f t="shared" si="3"/>
        <v>540890.57999999996</v>
      </c>
      <c r="G37" s="29">
        <f t="shared" si="3"/>
        <v>381951.09</v>
      </c>
      <c r="H37" s="29">
        <f t="shared" si="3"/>
        <v>707350.71</v>
      </c>
      <c r="I37" s="45">
        <f t="shared" si="2"/>
        <v>19503669.790000003</v>
      </c>
    </row>
    <row r="38" spans="1:9" ht="15" customHeight="1">
      <c r="A38" s="134" t="s">
        <v>32</v>
      </c>
      <c r="B38" s="134"/>
      <c r="C38" s="34">
        <f>C9-C37</f>
        <v>1400742.5099999979</v>
      </c>
      <c r="D38" s="34">
        <f t="shared" ref="D38:H38" si="4">D9-D37</f>
        <v>-33410.719999999972</v>
      </c>
      <c r="E38" s="23">
        <f t="shared" si="4"/>
        <v>47897.420000000042</v>
      </c>
      <c r="F38" s="34">
        <f t="shared" si="4"/>
        <v>141925.54000000004</v>
      </c>
      <c r="G38" s="34">
        <f t="shared" si="4"/>
        <v>-82883.840000000026</v>
      </c>
      <c r="H38" s="22">
        <f t="shared" si="4"/>
        <v>134629.09000000008</v>
      </c>
      <c r="I38" s="45">
        <f>I9-I37</f>
        <v>1608899.9999999963</v>
      </c>
    </row>
    <row r="39" spans="1:9" ht="12.75" customHeight="1">
      <c r="A39" s="134" t="s">
        <v>33</v>
      </c>
      <c r="B39" s="134"/>
      <c r="C39" s="22"/>
      <c r="D39" s="22"/>
      <c r="E39" s="31"/>
      <c r="F39" s="22"/>
      <c r="G39" s="22"/>
      <c r="H39" s="23"/>
      <c r="I39" s="33">
        <f>SUM(C39:H39)</f>
        <v>0</v>
      </c>
    </row>
    <row r="40" spans="1:9" ht="12.75" customHeight="1">
      <c r="A40" s="135" t="s">
        <v>34</v>
      </c>
      <c r="B40" s="135"/>
      <c r="C40" s="34"/>
      <c r="D40" s="34"/>
      <c r="E40" s="46"/>
      <c r="F40" s="34"/>
      <c r="G40" s="34"/>
      <c r="H40" s="34"/>
      <c r="I40" s="34">
        <v>0</v>
      </c>
    </row>
    <row r="41" spans="1:9" ht="12.75" customHeight="1">
      <c r="A41" s="135" t="s">
        <v>36</v>
      </c>
      <c r="B41" s="135"/>
      <c r="C41" s="24"/>
      <c r="D41" s="24"/>
      <c r="E41" s="46"/>
      <c r="F41" s="24"/>
      <c r="G41" s="24"/>
      <c r="H41" s="24"/>
      <c r="I41" s="24">
        <v>0</v>
      </c>
    </row>
    <row r="42" spans="1:9" ht="13.5" customHeight="1">
      <c r="A42" s="135" t="s">
        <v>37</v>
      </c>
      <c r="B42" s="135"/>
      <c r="C42" s="24"/>
      <c r="D42" s="24"/>
      <c r="E42" s="46"/>
      <c r="F42" s="24"/>
      <c r="G42" s="24"/>
      <c r="H42" s="24"/>
      <c r="I42" s="24">
        <v>0</v>
      </c>
    </row>
    <row r="43" spans="1:9" ht="13.5" customHeight="1">
      <c r="A43" s="12"/>
      <c r="B43" s="47" t="s">
        <v>38</v>
      </c>
      <c r="C43" s="24">
        <v>356914.38</v>
      </c>
      <c r="D43" s="24">
        <v>43858.69</v>
      </c>
      <c r="E43" s="46">
        <v>17395.71</v>
      </c>
      <c r="F43" s="24">
        <v>14776.28</v>
      </c>
      <c r="G43" s="24">
        <v>6515</v>
      </c>
      <c r="H43" s="39">
        <v>18266.86</v>
      </c>
      <c r="I43" s="24">
        <f>SUM(C43:H43)</f>
        <v>457726.92000000004</v>
      </c>
    </row>
    <row r="44" spans="1:9" ht="12.75" customHeight="1">
      <c r="A44" s="12"/>
      <c r="B44" s="47" t="s">
        <v>39</v>
      </c>
      <c r="C44" s="24">
        <v>20932.66</v>
      </c>
      <c r="D44" s="24">
        <v>2572.27</v>
      </c>
      <c r="E44" s="46">
        <v>1020.24</v>
      </c>
      <c r="F44" s="24">
        <v>866.61</v>
      </c>
      <c r="G44" s="24">
        <v>382.1</v>
      </c>
      <c r="H44" s="39">
        <v>1071.45</v>
      </c>
      <c r="I44" s="24">
        <f>SUM(C44:H44)</f>
        <v>26845.33</v>
      </c>
    </row>
    <row r="45" spans="1:9" ht="12.75" customHeight="1">
      <c r="A45" s="12"/>
      <c r="B45" s="47" t="s">
        <v>35</v>
      </c>
      <c r="C45" s="24">
        <v>82560.600000000006</v>
      </c>
      <c r="D45" s="24">
        <v>10145.290000000001</v>
      </c>
      <c r="E45" s="46">
        <v>4023.94</v>
      </c>
      <c r="F45" s="24">
        <v>3418.02</v>
      </c>
      <c r="G45" s="24">
        <v>1507.03</v>
      </c>
      <c r="H45" s="24">
        <v>4225.91</v>
      </c>
      <c r="I45" s="24">
        <f>SUM(C45:H45)</f>
        <v>105880.79000000002</v>
      </c>
    </row>
    <row r="46" spans="1:9">
      <c r="A46" s="135" t="s">
        <v>40</v>
      </c>
      <c r="B46" s="135"/>
      <c r="C46" s="24"/>
      <c r="D46" s="24"/>
      <c r="E46" s="46"/>
      <c r="F46" s="24"/>
      <c r="G46" s="24"/>
      <c r="H46" s="48"/>
      <c r="I46" s="24">
        <v>0</v>
      </c>
    </row>
    <row r="47" spans="1:9">
      <c r="A47" s="134" t="s">
        <v>41</v>
      </c>
      <c r="B47" s="134"/>
      <c r="C47" s="29">
        <f>SUM(C43:C46)</f>
        <v>460407.64</v>
      </c>
      <c r="D47" s="29">
        <f t="shared" ref="D47:H47" si="5">SUM(D43:D46)</f>
        <v>56576.25</v>
      </c>
      <c r="E47" s="49">
        <f t="shared" si="5"/>
        <v>22439.89</v>
      </c>
      <c r="F47" s="29">
        <f t="shared" si="5"/>
        <v>19060.91</v>
      </c>
      <c r="G47" s="29">
        <f t="shared" si="5"/>
        <v>8404.130000000001</v>
      </c>
      <c r="H47" s="50">
        <f t="shared" si="5"/>
        <v>23564.22</v>
      </c>
      <c r="I47" s="29">
        <f>I43+I44+I45</f>
        <v>590453.04</v>
      </c>
    </row>
    <row r="48" spans="1:9">
      <c r="A48" s="134" t="s">
        <v>42</v>
      </c>
      <c r="B48" s="134"/>
      <c r="C48" s="22"/>
      <c r="D48" s="22"/>
      <c r="E48" s="31"/>
      <c r="F48" s="22"/>
      <c r="G48" s="22"/>
      <c r="H48" s="23"/>
      <c r="I48" s="22"/>
    </row>
    <row r="49" spans="1:9" ht="12" customHeight="1">
      <c r="A49" s="135" t="s">
        <v>43</v>
      </c>
      <c r="B49" s="135"/>
      <c r="C49" s="34"/>
      <c r="D49" s="46"/>
      <c r="E49" s="34"/>
      <c r="F49" s="46"/>
      <c r="G49" s="46"/>
      <c r="H49" s="34"/>
      <c r="I49" s="40">
        <v>0</v>
      </c>
    </row>
    <row r="50" spans="1:9" ht="13.5" customHeight="1">
      <c r="A50" s="135" t="s">
        <v>44</v>
      </c>
      <c r="B50" s="135"/>
      <c r="C50" s="24"/>
      <c r="D50" s="46"/>
      <c r="E50" s="24"/>
      <c r="F50" s="46"/>
      <c r="G50" s="46"/>
      <c r="H50" s="24"/>
      <c r="I50" s="40">
        <v>0</v>
      </c>
    </row>
    <row r="51" spans="1:9">
      <c r="A51" s="134" t="s">
        <v>45</v>
      </c>
      <c r="B51" s="134"/>
      <c r="C51" s="22"/>
      <c r="D51" s="31"/>
      <c r="E51" s="22"/>
      <c r="F51" s="31"/>
      <c r="G51" s="31"/>
      <c r="H51" s="22"/>
      <c r="I51" s="33">
        <v>0</v>
      </c>
    </row>
    <row r="52" spans="1:9">
      <c r="A52" s="134" t="s">
        <v>46</v>
      </c>
      <c r="B52" s="134"/>
      <c r="C52" s="22">
        <f>C38-C47</f>
        <v>940334.8699999979</v>
      </c>
      <c r="D52" s="22">
        <f t="shared" ref="D52:H52" si="6">D38-D47</f>
        <v>-89986.969999999972</v>
      </c>
      <c r="E52" s="22">
        <f t="shared" si="6"/>
        <v>25457.530000000042</v>
      </c>
      <c r="F52" s="22">
        <f t="shared" si="6"/>
        <v>122864.63000000003</v>
      </c>
      <c r="G52" s="22">
        <f t="shared" si="6"/>
        <v>-91287.97000000003</v>
      </c>
      <c r="H52" s="51">
        <f t="shared" si="6"/>
        <v>111064.87000000008</v>
      </c>
      <c r="I52" s="33">
        <f>I38-I47</f>
        <v>1018446.9599999962</v>
      </c>
    </row>
    <row r="53" spans="1:9" ht="15" customHeight="1">
      <c r="A53" s="132" t="s">
        <v>47</v>
      </c>
      <c r="B53" s="133"/>
      <c r="C53" s="34"/>
      <c r="D53" s="52"/>
      <c r="E53" s="34"/>
      <c r="F53" s="52"/>
      <c r="G53" s="52"/>
      <c r="H53" s="34"/>
      <c r="I53" s="37"/>
    </row>
    <row r="54" spans="1:9" ht="14.25" customHeight="1">
      <c r="A54" s="12"/>
      <c r="B54" s="27" t="s">
        <v>48</v>
      </c>
      <c r="C54" s="24"/>
      <c r="D54" s="46"/>
      <c r="E54" s="24"/>
      <c r="F54" s="46"/>
      <c r="G54" s="46"/>
      <c r="H54" s="24"/>
      <c r="I54" s="40">
        <f>SUM(C54:H54)</f>
        <v>0</v>
      </c>
    </row>
    <row r="55" spans="1:9">
      <c r="A55" s="134" t="s">
        <v>49</v>
      </c>
      <c r="B55" s="134"/>
      <c r="C55" s="22">
        <f>C52-C54</f>
        <v>940334.8699999979</v>
      </c>
      <c r="D55" s="22">
        <f t="shared" ref="D55:H55" si="7">D52-D54</f>
        <v>-89986.969999999972</v>
      </c>
      <c r="E55" s="22">
        <f t="shared" si="7"/>
        <v>25457.530000000042</v>
      </c>
      <c r="F55" s="22">
        <f t="shared" si="7"/>
        <v>122864.63000000003</v>
      </c>
      <c r="G55" s="22">
        <f t="shared" si="7"/>
        <v>-91287.97000000003</v>
      </c>
      <c r="H55" s="22">
        <f t="shared" si="7"/>
        <v>111064.87000000008</v>
      </c>
      <c r="I55" s="22">
        <f>I52-I54</f>
        <v>1018446.9599999962</v>
      </c>
    </row>
    <row r="57" spans="1:9">
      <c r="G57" s="53"/>
    </row>
    <row r="58" spans="1:9">
      <c r="E58" s="53"/>
    </row>
    <row r="59" spans="1:9">
      <c r="D59" s="53"/>
      <c r="E59" s="54"/>
      <c r="G59" s="54"/>
    </row>
    <row r="60" spans="1:9">
      <c r="D60" s="53"/>
      <c r="E60" s="54"/>
      <c r="G60" s="54"/>
    </row>
    <row r="61" spans="1:9">
      <c r="D61" s="53"/>
      <c r="E61" s="54"/>
      <c r="G61" s="54"/>
    </row>
    <row r="62" spans="1:9">
      <c r="D62" s="53"/>
      <c r="E62" s="54"/>
      <c r="G62" s="54"/>
    </row>
    <row r="63" spans="1:9">
      <c r="D63" s="53"/>
      <c r="E63" s="54"/>
      <c r="G63" s="54"/>
    </row>
  </sheetData>
  <mergeCells count="33">
    <mergeCell ref="A7:B7"/>
    <mergeCell ref="C1:I1"/>
    <mergeCell ref="C2:I2"/>
    <mergeCell ref="A3:B4"/>
    <mergeCell ref="C3:I3"/>
    <mergeCell ref="A5:B5"/>
    <mergeCell ref="A6:B6"/>
    <mergeCell ref="A47:B47"/>
    <mergeCell ref="A48:B48"/>
    <mergeCell ref="A49:B49"/>
    <mergeCell ref="A38:B38"/>
    <mergeCell ref="A39:B39"/>
    <mergeCell ref="A40:B40"/>
    <mergeCell ref="A41:B41"/>
    <mergeCell ref="A42:B42"/>
    <mergeCell ref="A46:B46"/>
    <mergeCell ref="A37:B37"/>
    <mergeCell ref="A9:B9"/>
    <mergeCell ref="A10:B10"/>
    <mergeCell ref="A11:B11"/>
    <mergeCell ref="A12:B12"/>
    <mergeCell ref="A21:B21"/>
    <mergeCell ref="A22:B22"/>
    <mergeCell ref="A28:B28"/>
    <mergeCell ref="A33:B33"/>
    <mergeCell ref="A34:B34"/>
    <mergeCell ref="A35:B35"/>
    <mergeCell ref="A36:B36"/>
    <mergeCell ref="A53:B53"/>
    <mergeCell ref="A55:B55"/>
    <mergeCell ref="A50:B50"/>
    <mergeCell ref="A51:B51"/>
    <mergeCell ref="A52:B52"/>
  </mergeCells>
  <pageMargins left="0.15748031496062992" right="0.19685039370078741" top="0.15748031496062992" bottom="0.19685039370078741" header="0.31496062992125984" footer="0.19685039370078741"/>
  <pageSetup paperSize="8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 sizeWithCells="1">
              <from>
                <xdr:col>1</xdr:col>
                <xdr:colOff>190500</xdr:colOff>
                <xdr:row>0</xdr:row>
                <xdr:rowOff>60960</xdr:rowOff>
              </from>
              <to>
                <xdr:col>1</xdr:col>
                <xdr:colOff>1127760</xdr:colOff>
                <xdr:row>3</xdr:row>
                <xdr:rowOff>121920</xdr:rowOff>
              </to>
            </anchor>
          </objectPr>
        </oleObject>
      </mc:Choice>
      <mc:Fallback>
        <oleObject progId="MSPhotoEd.3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5"/>
  <sheetViews>
    <sheetView workbookViewId="0">
      <selection activeCell="B20" sqref="B20"/>
    </sheetView>
  </sheetViews>
  <sheetFormatPr defaultColWidth="9.109375" defaultRowHeight="14.4"/>
  <cols>
    <col min="1" max="1" width="3.44140625" style="57" customWidth="1"/>
    <col min="2" max="2" width="67.33203125" style="57" customWidth="1"/>
    <col min="3" max="3" width="19.109375" style="57" customWidth="1"/>
    <col min="4" max="4" width="14.6640625" style="57" customWidth="1"/>
    <col min="5" max="5" width="15" style="57" customWidth="1"/>
    <col min="6" max="6" width="12" style="57" customWidth="1"/>
    <col min="7" max="7" width="11.6640625" style="57" customWidth="1"/>
    <col min="8" max="8" width="15.33203125" style="57" customWidth="1"/>
    <col min="9" max="9" width="14.33203125" style="57" customWidth="1"/>
    <col min="10" max="10" width="13.33203125" style="57" customWidth="1"/>
    <col min="11" max="11" width="12.33203125" style="57" customWidth="1"/>
    <col min="12" max="12" width="5.5546875" style="57" customWidth="1"/>
    <col min="13" max="14" width="11.5546875" style="57" bestFit="1" customWidth="1"/>
    <col min="15" max="15" width="10.5546875" style="57" bestFit="1" customWidth="1"/>
    <col min="16" max="16384" width="9.109375" style="57"/>
  </cols>
  <sheetData>
    <row r="1" spans="1:13">
      <c r="A1" s="55"/>
      <c r="B1" s="56"/>
      <c r="C1" s="148" t="s">
        <v>76</v>
      </c>
      <c r="D1" s="149"/>
      <c r="E1" s="149"/>
      <c r="F1" s="149"/>
      <c r="G1" s="149"/>
      <c r="H1" s="149"/>
      <c r="I1" s="149"/>
      <c r="J1" s="149"/>
      <c r="K1" s="150"/>
    </row>
    <row r="2" spans="1:13" ht="25.2" customHeight="1">
      <c r="A2" s="58"/>
      <c r="B2" s="59"/>
      <c r="C2" s="151" t="s">
        <v>50</v>
      </c>
      <c r="D2" s="151"/>
      <c r="E2" s="151"/>
      <c r="F2" s="151"/>
      <c r="G2" s="151"/>
      <c r="H2" s="151"/>
      <c r="I2" s="151"/>
      <c r="J2" s="151"/>
      <c r="K2" s="151"/>
    </row>
    <row r="3" spans="1:13" ht="15" customHeight="1">
      <c r="A3" s="152"/>
      <c r="B3" s="152"/>
      <c r="C3" s="152" t="s">
        <v>53</v>
      </c>
      <c r="D3" s="152"/>
      <c r="E3" s="152"/>
      <c r="F3" s="152"/>
      <c r="G3" s="152"/>
      <c r="H3" s="152"/>
      <c r="I3" s="152"/>
      <c r="J3" s="152"/>
      <c r="K3" s="152"/>
    </row>
    <row r="4" spans="1:13" ht="27" customHeight="1">
      <c r="A4" s="152"/>
      <c r="B4" s="152"/>
      <c r="C4" s="60" t="s">
        <v>65</v>
      </c>
      <c r="D4" s="60" t="s">
        <v>66</v>
      </c>
      <c r="E4" s="61" t="s">
        <v>67</v>
      </c>
      <c r="F4" s="60" t="s">
        <v>68</v>
      </c>
      <c r="G4" s="61" t="s">
        <v>69</v>
      </c>
      <c r="H4" s="60" t="s">
        <v>70</v>
      </c>
      <c r="I4" s="61" t="s">
        <v>72</v>
      </c>
      <c r="J4" s="60" t="s">
        <v>71</v>
      </c>
      <c r="K4" s="62" t="s">
        <v>0</v>
      </c>
    </row>
    <row r="5" spans="1:13" ht="17.25" customHeight="1">
      <c r="A5" s="145" t="s">
        <v>1</v>
      </c>
      <c r="B5" s="145"/>
      <c r="C5" s="63"/>
      <c r="D5" s="63"/>
      <c r="E5" s="64"/>
      <c r="F5" s="63"/>
      <c r="G5" s="64"/>
      <c r="H5" s="63"/>
      <c r="I5" s="64"/>
      <c r="J5" s="63"/>
      <c r="K5" s="65"/>
    </row>
    <row r="6" spans="1:13" ht="18" customHeight="1">
      <c r="A6" s="143" t="s">
        <v>2</v>
      </c>
      <c r="B6" s="144"/>
      <c r="C6" s="66">
        <f>1228045.73+6420.68+34.38+1.75</f>
        <v>1234502.5399999998</v>
      </c>
      <c r="D6" s="66">
        <f>835998.35+4395.5</f>
        <v>840393.85</v>
      </c>
      <c r="E6" s="67">
        <f>631251.4+3318.99</f>
        <v>634570.39</v>
      </c>
      <c r="F6" s="66">
        <f>229968.34+1209.13</f>
        <v>231177.47</v>
      </c>
      <c r="G6" s="67">
        <f>92538.8+486.55</f>
        <v>93025.35</v>
      </c>
      <c r="H6" s="66">
        <f>685874.88+3606.19</f>
        <v>689481.07</v>
      </c>
      <c r="I6" s="67">
        <f>330715.42+1738.83</f>
        <v>332454.25</v>
      </c>
      <c r="J6" s="66">
        <f>130802.75+687.73</f>
        <v>131490.48000000001</v>
      </c>
      <c r="K6" s="68">
        <f>SUM(C6:J6)</f>
        <v>4187095.4</v>
      </c>
      <c r="M6" s="109"/>
    </row>
    <row r="7" spans="1:13" ht="14.25" customHeight="1">
      <c r="A7" s="147" t="s">
        <v>3</v>
      </c>
      <c r="B7" s="147"/>
      <c r="C7" s="66"/>
      <c r="D7" s="66"/>
      <c r="E7" s="67"/>
      <c r="F7" s="66"/>
      <c r="G7" s="67"/>
      <c r="H7" s="66"/>
      <c r="I7" s="67"/>
      <c r="J7" s="66"/>
      <c r="K7" s="68">
        <v>0</v>
      </c>
    </row>
    <row r="8" spans="1:13" ht="12" customHeight="1">
      <c r="A8" s="69"/>
      <c r="B8" s="70" t="s">
        <v>4</v>
      </c>
      <c r="C8" s="66"/>
      <c r="D8" s="66"/>
      <c r="E8" s="67"/>
      <c r="F8" s="66"/>
      <c r="G8" s="67"/>
      <c r="H8" s="66"/>
      <c r="I8" s="67"/>
      <c r="J8" s="66"/>
      <c r="K8" s="68">
        <v>0</v>
      </c>
    </row>
    <row r="9" spans="1:13" ht="15.75" customHeight="1">
      <c r="A9" s="145" t="s">
        <v>5</v>
      </c>
      <c r="B9" s="145"/>
      <c r="C9" s="71">
        <f t="shared" ref="C9:J9" si="0">SUM(C6:C8)</f>
        <v>1234502.5399999998</v>
      </c>
      <c r="D9" s="71">
        <f t="shared" si="0"/>
        <v>840393.85</v>
      </c>
      <c r="E9" s="72">
        <f t="shared" si="0"/>
        <v>634570.39</v>
      </c>
      <c r="F9" s="71">
        <f t="shared" si="0"/>
        <v>231177.47</v>
      </c>
      <c r="G9" s="72">
        <f t="shared" si="0"/>
        <v>93025.35</v>
      </c>
      <c r="H9" s="71">
        <f t="shared" si="0"/>
        <v>689481.07</v>
      </c>
      <c r="I9" s="72">
        <f t="shared" si="0"/>
        <v>332454.25</v>
      </c>
      <c r="J9" s="71">
        <f t="shared" si="0"/>
        <v>131490.48000000001</v>
      </c>
      <c r="K9" s="73">
        <f>SUM(K6:K8)</f>
        <v>4187095.4</v>
      </c>
    </row>
    <row r="10" spans="1:13" ht="13.5" customHeight="1">
      <c r="A10" s="145" t="s">
        <v>6</v>
      </c>
      <c r="B10" s="145"/>
      <c r="C10" s="63"/>
      <c r="D10" s="63"/>
      <c r="E10" s="64"/>
      <c r="F10" s="63"/>
      <c r="G10" s="64"/>
      <c r="H10" s="63"/>
      <c r="I10" s="64"/>
      <c r="J10" s="63"/>
      <c r="K10" s="65"/>
    </row>
    <row r="11" spans="1:13" ht="17.25" customHeight="1">
      <c r="A11" s="147" t="s">
        <v>7</v>
      </c>
      <c r="B11" s="147"/>
      <c r="C11" s="66">
        <f>13963+413</f>
        <v>14376</v>
      </c>
      <c r="D11" s="66">
        <v>6078</v>
      </c>
      <c r="E11" s="67">
        <v>10405</v>
      </c>
      <c r="F11" s="66">
        <v>3619</v>
      </c>
      <c r="G11" s="67">
        <v>1558</v>
      </c>
      <c r="H11" s="66"/>
      <c r="I11" s="67">
        <v>2387</v>
      </c>
      <c r="J11" s="66">
        <v>3378</v>
      </c>
      <c r="K11" s="68">
        <f>SUM(C11:J11)</f>
        <v>41801</v>
      </c>
    </row>
    <row r="12" spans="1:13" ht="15" customHeight="1">
      <c r="A12" s="147" t="s">
        <v>8</v>
      </c>
      <c r="B12" s="147"/>
      <c r="C12" s="66"/>
      <c r="D12" s="66"/>
      <c r="E12" s="67"/>
      <c r="F12" s="66"/>
      <c r="G12" s="67"/>
      <c r="H12" s="66"/>
      <c r="I12" s="67"/>
      <c r="J12" s="66"/>
      <c r="K12" s="68">
        <f t="shared" ref="K12" si="1">SUM(C12:J12)</f>
        <v>0</v>
      </c>
    </row>
    <row r="13" spans="1:13" ht="12.75" customHeight="1">
      <c r="A13" s="69"/>
      <c r="B13" s="74" t="s">
        <v>9</v>
      </c>
      <c r="C13" s="75"/>
      <c r="D13" s="75"/>
      <c r="E13" s="76"/>
      <c r="F13" s="75"/>
      <c r="G13" s="76"/>
      <c r="H13" s="75"/>
      <c r="I13" s="76"/>
      <c r="J13" s="75"/>
      <c r="K13" s="68">
        <f t="shared" ref="K13:K36" si="2">SUM(C13:J13)</f>
        <v>0</v>
      </c>
    </row>
    <row r="14" spans="1:13" ht="13.5" customHeight="1">
      <c r="A14" s="69"/>
      <c r="B14" s="74" t="s">
        <v>51</v>
      </c>
      <c r="C14" s="75">
        <f>325.62</f>
        <v>325.62</v>
      </c>
      <c r="D14" s="75">
        <f>325.1</f>
        <v>325.10000000000002</v>
      </c>
      <c r="E14" s="76">
        <f>245.92+3680+2663.48</f>
        <v>6589.4</v>
      </c>
      <c r="F14" s="75">
        <f>89.97+896.58</f>
        <v>986.55000000000007</v>
      </c>
      <c r="G14" s="76">
        <v>35.99</v>
      </c>
      <c r="H14" s="75">
        <v>267.51</v>
      </c>
      <c r="I14" s="76">
        <v>128.36000000000001</v>
      </c>
      <c r="J14" s="75">
        <v>50.38</v>
      </c>
      <c r="K14" s="68">
        <f t="shared" si="2"/>
        <v>8708.91</v>
      </c>
    </row>
    <row r="15" spans="1:13" ht="12" customHeight="1">
      <c r="A15" s="69"/>
      <c r="B15" s="74" t="s">
        <v>10</v>
      </c>
      <c r="C15" s="75">
        <v>15806.65</v>
      </c>
      <c r="D15" s="75">
        <v>10709</v>
      </c>
      <c r="E15" s="76">
        <v>8100.91</v>
      </c>
      <c r="F15" s="75">
        <v>2963.875</v>
      </c>
      <c r="G15" s="76">
        <v>1185.5</v>
      </c>
      <c r="H15" s="75">
        <v>8812.2099999999991</v>
      </c>
      <c r="I15" s="76">
        <v>4228.28</v>
      </c>
      <c r="J15" s="75">
        <v>1659.7</v>
      </c>
      <c r="K15" s="68">
        <f t="shared" si="2"/>
        <v>53466.124999999993</v>
      </c>
    </row>
    <row r="16" spans="1:13" ht="15" customHeight="1">
      <c r="A16" s="69"/>
      <c r="B16" s="74" t="s">
        <v>11</v>
      </c>
      <c r="C16" s="75"/>
      <c r="D16" s="75"/>
      <c r="E16" s="76"/>
      <c r="F16" s="75"/>
      <c r="G16" s="76"/>
      <c r="H16" s="75"/>
      <c r="I16" s="76"/>
      <c r="J16" s="75"/>
      <c r="K16" s="68">
        <f t="shared" si="2"/>
        <v>0</v>
      </c>
    </row>
    <row r="17" spans="1:15" ht="14.25" customHeight="1">
      <c r="A17" s="69"/>
      <c r="B17" s="74" t="s">
        <v>12</v>
      </c>
      <c r="C17" s="75"/>
      <c r="D17" s="75"/>
      <c r="E17" s="76"/>
      <c r="F17" s="75"/>
      <c r="G17" s="76"/>
      <c r="H17" s="75"/>
      <c r="I17" s="76"/>
      <c r="J17" s="75"/>
      <c r="K17" s="68">
        <f t="shared" si="2"/>
        <v>0</v>
      </c>
    </row>
    <row r="18" spans="1:15" ht="14.25" customHeight="1">
      <c r="A18" s="69"/>
      <c r="B18" s="74" t="s">
        <v>13</v>
      </c>
      <c r="C18" s="75"/>
      <c r="D18" s="75"/>
      <c r="E18" s="76"/>
      <c r="F18" s="75"/>
      <c r="G18" s="76"/>
      <c r="H18" s="75"/>
      <c r="I18" s="76"/>
      <c r="J18" s="75"/>
      <c r="K18" s="68">
        <f t="shared" si="2"/>
        <v>0</v>
      </c>
    </row>
    <row r="19" spans="1:15" ht="14.25" customHeight="1">
      <c r="A19" s="69"/>
      <c r="B19" s="94" t="s">
        <v>52</v>
      </c>
      <c r="C19" s="75">
        <f>1225.4</f>
        <v>1225.4000000000001</v>
      </c>
      <c r="D19" s="75"/>
      <c r="E19" s="76">
        <f>2766.68</f>
        <v>2766.68</v>
      </c>
      <c r="F19" s="75">
        <f>1434.32</f>
        <v>1434.32</v>
      </c>
      <c r="G19" s="76"/>
      <c r="H19" s="75"/>
      <c r="I19" s="76"/>
      <c r="J19" s="75"/>
      <c r="K19" s="68">
        <f t="shared" si="2"/>
        <v>5426.4</v>
      </c>
    </row>
    <row r="20" spans="1:15" ht="12" customHeight="1">
      <c r="A20" s="69"/>
      <c r="B20" s="74" t="s">
        <v>14</v>
      </c>
      <c r="C20" s="75">
        <f>714+13610.88</f>
        <v>14324.88</v>
      </c>
      <c r="D20" s="75">
        <f>484+9221.37</f>
        <v>9705.3700000000008</v>
      </c>
      <c r="E20" s="76">
        <f>366+6975.58</f>
        <v>7341.58</v>
      </c>
      <c r="F20" s="75">
        <f>134+2552.04</f>
        <v>2686.04</v>
      </c>
      <c r="G20" s="76">
        <f>54+1020.82</f>
        <v>1074.8200000000002</v>
      </c>
      <c r="H20" s="75">
        <f>398+7588.07</f>
        <v>7986.07</v>
      </c>
      <c r="I20" s="76">
        <f>191+3640.91</f>
        <v>3831.91</v>
      </c>
      <c r="J20" s="75">
        <f>75+1429.14</f>
        <v>1504.14</v>
      </c>
      <c r="K20" s="68">
        <f t="shared" si="2"/>
        <v>48454.81</v>
      </c>
      <c r="M20" s="77"/>
      <c r="N20" s="77"/>
      <c r="O20" s="78"/>
    </row>
    <row r="21" spans="1:15" ht="15.75" customHeight="1">
      <c r="A21" s="146" t="s">
        <v>15</v>
      </c>
      <c r="B21" s="146"/>
      <c r="C21" s="66">
        <v>2766.06</v>
      </c>
      <c r="D21" s="66">
        <f>6066+1874.01</f>
        <v>7940.01</v>
      </c>
      <c r="E21" s="67">
        <v>1417.61</v>
      </c>
      <c r="F21" s="66">
        <v>518.64</v>
      </c>
      <c r="G21" s="67">
        <v>207.45</v>
      </c>
      <c r="H21" s="66">
        <v>1542.08</v>
      </c>
      <c r="I21" s="67">
        <v>739.92</v>
      </c>
      <c r="J21" s="66">
        <v>290.44</v>
      </c>
      <c r="K21" s="68">
        <f t="shared" si="2"/>
        <v>15422.210000000001</v>
      </c>
      <c r="M21" s="77"/>
      <c r="N21" s="77"/>
      <c r="O21" s="78"/>
    </row>
    <row r="22" spans="1:15" ht="15.75" customHeight="1">
      <c r="A22" s="146" t="s">
        <v>16</v>
      </c>
      <c r="B22" s="146"/>
      <c r="C22" s="66"/>
      <c r="D22" s="66"/>
      <c r="E22" s="67"/>
      <c r="F22" s="66"/>
      <c r="G22" s="67"/>
      <c r="H22" s="66"/>
      <c r="I22" s="67"/>
      <c r="J22" s="66"/>
      <c r="K22" s="68">
        <f t="shared" si="2"/>
        <v>0</v>
      </c>
      <c r="M22" s="77"/>
      <c r="N22" s="77"/>
      <c r="O22" s="78"/>
    </row>
    <row r="23" spans="1:15" ht="15" customHeight="1">
      <c r="A23" s="69"/>
      <c r="B23" s="79" t="s">
        <v>17</v>
      </c>
      <c r="C23" s="66">
        <v>879631</v>
      </c>
      <c r="D23" s="66">
        <v>524963</v>
      </c>
      <c r="E23" s="67">
        <v>365043</v>
      </c>
      <c r="F23" s="66">
        <v>192063</v>
      </c>
      <c r="G23" s="67">
        <v>75539</v>
      </c>
      <c r="H23" s="66">
        <v>509565</v>
      </c>
      <c r="I23" s="67">
        <v>141538</v>
      </c>
      <c r="J23" s="66">
        <v>189175</v>
      </c>
      <c r="K23" s="68">
        <f t="shared" si="2"/>
        <v>2877517</v>
      </c>
      <c r="M23" s="77"/>
      <c r="N23" s="77"/>
      <c r="O23" s="78"/>
    </row>
    <row r="24" spans="1:15" ht="15" customHeight="1">
      <c r="A24" s="69"/>
      <c r="B24" s="79" t="s">
        <v>18</v>
      </c>
      <c r="C24" s="66">
        <v>281413</v>
      </c>
      <c r="D24" s="66">
        <v>171245</v>
      </c>
      <c r="E24" s="67">
        <v>108648</v>
      </c>
      <c r="F24" s="66">
        <v>58090</v>
      </c>
      <c r="G24" s="67">
        <v>23099</v>
      </c>
      <c r="H24" s="66">
        <v>165355</v>
      </c>
      <c r="I24" s="67">
        <v>45235</v>
      </c>
      <c r="J24" s="66">
        <v>60817</v>
      </c>
      <c r="K24" s="68">
        <f t="shared" si="2"/>
        <v>913902</v>
      </c>
      <c r="M24" s="77"/>
      <c r="N24" s="77"/>
      <c r="O24" s="78"/>
    </row>
    <row r="25" spans="1:15" ht="15" customHeight="1">
      <c r="A25" s="69"/>
      <c r="B25" s="79" t="s">
        <v>19</v>
      </c>
      <c r="C25" s="66">
        <v>67721</v>
      </c>
      <c r="D25" s="66">
        <v>47962</v>
      </c>
      <c r="E25" s="67">
        <v>28434</v>
      </c>
      <c r="F25" s="66">
        <v>13544</v>
      </c>
      <c r="G25" s="67">
        <v>8010</v>
      </c>
      <c r="H25" s="66">
        <v>39863</v>
      </c>
      <c r="I25" s="67">
        <v>11086</v>
      </c>
      <c r="J25" s="66">
        <v>12096</v>
      </c>
      <c r="K25" s="68">
        <f t="shared" si="2"/>
        <v>228716</v>
      </c>
      <c r="M25" s="77"/>
      <c r="N25" s="77"/>
      <c r="O25" s="78"/>
    </row>
    <row r="26" spans="1:15" ht="15" customHeight="1">
      <c r="A26" s="69"/>
      <c r="B26" s="79" t="s">
        <v>20</v>
      </c>
      <c r="C26" s="66"/>
      <c r="D26" s="66"/>
      <c r="E26" s="67"/>
      <c r="F26" s="66"/>
      <c r="G26" s="67"/>
      <c r="H26" s="66"/>
      <c r="I26" s="67"/>
      <c r="J26" s="66"/>
      <c r="K26" s="68">
        <f t="shared" si="2"/>
        <v>0</v>
      </c>
      <c r="M26" s="77"/>
      <c r="N26" s="77"/>
      <c r="O26" s="78"/>
    </row>
    <row r="27" spans="1:15" ht="14.25" customHeight="1">
      <c r="A27" s="69"/>
      <c r="B27" s="79" t="s">
        <v>21</v>
      </c>
      <c r="C27" s="66">
        <v>31001</v>
      </c>
      <c r="D27" s="66">
        <v>13516</v>
      </c>
      <c r="E27" s="67">
        <v>8079</v>
      </c>
      <c r="F27" s="66">
        <v>5191</v>
      </c>
      <c r="G27" s="67">
        <v>2028</v>
      </c>
      <c r="H27" s="66">
        <v>9372</v>
      </c>
      <c r="I27" s="67">
        <v>4151</v>
      </c>
      <c r="J27" s="66">
        <v>2741</v>
      </c>
      <c r="K27" s="68">
        <f t="shared" si="2"/>
        <v>76079</v>
      </c>
      <c r="M27" s="80"/>
      <c r="N27" s="80"/>
      <c r="O27" s="78"/>
    </row>
    <row r="28" spans="1:15" ht="18.75" customHeight="1">
      <c r="A28" s="146" t="s">
        <v>22</v>
      </c>
      <c r="B28" s="146"/>
      <c r="C28" s="66"/>
      <c r="D28" s="66"/>
      <c r="E28" s="66"/>
      <c r="F28" s="66"/>
      <c r="G28" s="66"/>
      <c r="H28" s="66"/>
      <c r="I28" s="66"/>
      <c r="J28" s="66"/>
      <c r="K28" s="68">
        <f t="shared" si="2"/>
        <v>0</v>
      </c>
    </row>
    <row r="29" spans="1:15" ht="11.25" customHeight="1">
      <c r="A29" s="81"/>
      <c r="B29" s="79" t="s">
        <v>23</v>
      </c>
      <c r="C29" s="75">
        <v>351.07</v>
      </c>
      <c r="D29" s="75">
        <v>237.85</v>
      </c>
      <c r="E29" s="76">
        <v>179.92</v>
      </c>
      <c r="F29" s="75">
        <v>65.83</v>
      </c>
      <c r="G29" s="76">
        <v>26.33</v>
      </c>
      <c r="H29" s="75">
        <v>195.72</v>
      </c>
      <c r="I29" s="76">
        <v>93.91</v>
      </c>
      <c r="J29" s="75">
        <v>36.86</v>
      </c>
      <c r="K29" s="68">
        <f t="shared" si="2"/>
        <v>1187.49</v>
      </c>
    </row>
    <row r="30" spans="1:15" ht="15.75" customHeight="1">
      <c r="A30" s="81"/>
      <c r="B30" s="79" t="s">
        <v>24</v>
      </c>
      <c r="C30" s="75">
        <v>3825.27</v>
      </c>
      <c r="D30" s="75">
        <v>2591.62</v>
      </c>
      <c r="E30" s="76">
        <v>1960.45</v>
      </c>
      <c r="F30" s="75">
        <v>717.24</v>
      </c>
      <c r="G30" s="76">
        <v>286.89999999999998</v>
      </c>
      <c r="H30" s="75">
        <v>2132.59</v>
      </c>
      <c r="I30" s="76">
        <v>1023.26</v>
      </c>
      <c r="J30" s="75">
        <v>401.65</v>
      </c>
      <c r="K30" s="68">
        <f t="shared" si="2"/>
        <v>12938.98</v>
      </c>
    </row>
    <row r="31" spans="1:15" ht="15.75" customHeight="1">
      <c r="A31" s="81"/>
      <c r="B31" s="79" t="s">
        <v>25</v>
      </c>
      <c r="C31" s="75"/>
      <c r="D31" s="75"/>
      <c r="E31" s="76"/>
      <c r="F31" s="75"/>
      <c r="G31" s="76"/>
      <c r="H31" s="75"/>
      <c r="I31" s="76"/>
      <c r="J31" s="75"/>
      <c r="K31" s="68">
        <f t="shared" si="2"/>
        <v>0</v>
      </c>
    </row>
    <row r="32" spans="1:15" ht="25.5" customHeight="1">
      <c r="A32" s="81"/>
      <c r="B32" s="82" t="s">
        <v>26</v>
      </c>
      <c r="C32" s="75"/>
      <c r="D32" s="75"/>
      <c r="E32" s="76"/>
      <c r="F32" s="75"/>
      <c r="G32" s="76"/>
      <c r="H32" s="75"/>
      <c r="I32" s="76"/>
      <c r="J32" s="75"/>
      <c r="K32" s="68">
        <f t="shared" si="2"/>
        <v>0</v>
      </c>
    </row>
    <row r="33" spans="1:11" ht="24" customHeight="1">
      <c r="A33" s="146" t="s">
        <v>27</v>
      </c>
      <c r="B33" s="146"/>
      <c r="C33" s="66">
        <v>1352.8</v>
      </c>
      <c r="D33" s="66">
        <v>916.52</v>
      </c>
      <c r="E33" s="67">
        <v>693.31</v>
      </c>
      <c r="F33" s="66">
        <v>253.65</v>
      </c>
      <c r="G33" s="67">
        <v>101.46</v>
      </c>
      <c r="H33" s="66">
        <v>754.19</v>
      </c>
      <c r="I33" s="67">
        <v>361.87</v>
      </c>
      <c r="J33" s="66">
        <v>142.04</v>
      </c>
      <c r="K33" s="68">
        <f t="shared" si="2"/>
        <v>4575.84</v>
      </c>
    </row>
    <row r="34" spans="1:11" ht="12" customHeight="1">
      <c r="A34" s="146" t="s">
        <v>28</v>
      </c>
      <c r="B34" s="146"/>
      <c r="C34" s="66"/>
      <c r="D34" s="66"/>
      <c r="E34" s="67"/>
      <c r="F34" s="66"/>
      <c r="G34" s="67"/>
      <c r="H34" s="66"/>
      <c r="I34" s="67"/>
      <c r="J34" s="66"/>
      <c r="K34" s="68">
        <f t="shared" si="2"/>
        <v>0</v>
      </c>
    </row>
    <row r="35" spans="1:11" ht="12" customHeight="1">
      <c r="A35" s="146" t="s">
        <v>29</v>
      </c>
      <c r="B35" s="146"/>
      <c r="C35" s="66"/>
      <c r="D35" s="66"/>
      <c r="E35" s="67"/>
      <c r="F35" s="66"/>
      <c r="G35" s="67"/>
      <c r="H35" s="66"/>
      <c r="I35" s="67"/>
      <c r="J35" s="66"/>
      <c r="K35" s="68">
        <f>SUM(C35:J35)</f>
        <v>0</v>
      </c>
    </row>
    <row r="36" spans="1:11" ht="12.75" customHeight="1">
      <c r="A36" s="146" t="s">
        <v>30</v>
      </c>
      <c r="B36" s="146"/>
      <c r="C36" s="66">
        <v>8631.7999999999993</v>
      </c>
      <c r="D36" s="66">
        <v>5848.04</v>
      </c>
      <c r="E36" s="67">
        <v>4423.8</v>
      </c>
      <c r="F36" s="66">
        <v>1618.46</v>
      </c>
      <c r="G36" s="67">
        <v>647.38</v>
      </c>
      <c r="H36" s="66">
        <v>4812.2299999999996</v>
      </c>
      <c r="I36" s="67">
        <v>2309.0100000000002</v>
      </c>
      <c r="J36" s="66">
        <v>906.34</v>
      </c>
      <c r="K36" s="68">
        <f t="shared" si="2"/>
        <v>29197.06</v>
      </c>
    </row>
    <row r="37" spans="1:11" ht="15.75" customHeight="1">
      <c r="A37" s="145" t="s">
        <v>31</v>
      </c>
      <c r="B37" s="145"/>
      <c r="C37" s="71">
        <f>SUM(C11:C36)</f>
        <v>1322751.55</v>
      </c>
      <c r="D37" s="71">
        <f t="shared" ref="D37:J37" si="3">SUM(D11:D36)</f>
        <v>802037.51</v>
      </c>
      <c r="E37" s="72">
        <f t="shared" si="3"/>
        <v>554082.66</v>
      </c>
      <c r="F37" s="71">
        <f t="shared" si="3"/>
        <v>283751.60500000004</v>
      </c>
      <c r="G37" s="72">
        <f t="shared" si="3"/>
        <v>113799.83</v>
      </c>
      <c r="H37" s="71">
        <f t="shared" si="3"/>
        <v>750657.59999999986</v>
      </c>
      <c r="I37" s="72">
        <f t="shared" si="3"/>
        <v>217113.52000000002</v>
      </c>
      <c r="J37" s="71">
        <f t="shared" si="3"/>
        <v>273198.55000000005</v>
      </c>
      <c r="K37" s="71">
        <f>SUM(K11:K36)</f>
        <v>4317392.8250000002</v>
      </c>
    </row>
    <row r="38" spans="1:11" ht="16.5" customHeight="1">
      <c r="A38" s="145" t="s">
        <v>32</v>
      </c>
      <c r="B38" s="145"/>
      <c r="C38" s="63">
        <f>C9-C37</f>
        <v>-88249.010000000242</v>
      </c>
      <c r="D38" s="63">
        <f t="shared" ref="D38:J38" si="4">D9-D37</f>
        <v>38356.339999999967</v>
      </c>
      <c r="E38" s="64">
        <f t="shared" si="4"/>
        <v>80487.729999999981</v>
      </c>
      <c r="F38" s="63">
        <f t="shared" si="4"/>
        <v>-52574.135000000038</v>
      </c>
      <c r="G38" s="64">
        <f t="shared" si="4"/>
        <v>-20774.479999999996</v>
      </c>
      <c r="H38" s="63">
        <f t="shared" si="4"/>
        <v>-61176.529999999912</v>
      </c>
      <c r="I38" s="64">
        <f t="shared" si="4"/>
        <v>115340.72999999998</v>
      </c>
      <c r="J38" s="63">
        <f t="shared" si="4"/>
        <v>-141708.07000000004</v>
      </c>
      <c r="K38" s="68">
        <f>K9-K37</f>
        <v>-130297.42500000028</v>
      </c>
    </row>
    <row r="39" spans="1:11" ht="13.5" customHeight="1">
      <c r="A39" s="145" t="s">
        <v>33</v>
      </c>
      <c r="B39" s="145"/>
      <c r="C39" s="63"/>
      <c r="D39" s="63"/>
      <c r="E39" s="64"/>
      <c r="F39" s="63"/>
      <c r="G39" s="64"/>
      <c r="H39" s="63"/>
      <c r="I39" s="64"/>
      <c r="J39" s="63"/>
      <c r="K39" s="65"/>
    </row>
    <row r="40" spans="1:11" ht="15.75" customHeight="1">
      <c r="A40" s="146" t="s">
        <v>34</v>
      </c>
      <c r="B40" s="146"/>
      <c r="C40" s="66"/>
      <c r="D40" s="66"/>
      <c r="E40" s="67"/>
      <c r="F40" s="66"/>
      <c r="G40" s="67"/>
      <c r="H40" s="66"/>
      <c r="I40" s="67"/>
      <c r="J40" s="66"/>
      <c r="K40" s="68">
        <f t="shared" ref="K40:K47" si="5">SUM(C40:J40)</f>
        <v>0</v>
      </c>
    </row>
    <row r="41" spans="1:11" ht="13.5" customHeight="1">
      <c r="A41" s="146" t="s">
        <v>36</v>
      </c>
      <c r="B41" s="146"/>
      <c r="C41" s="66"/>
      <c r="D41" s="66"/>
      <c r="E41" s="67"/>
      <c r="F41" s="66"/>
      <c r="G41" s="67"/>
      <c r="H41" s="66"/>
      <c r="I41" s="67"/>
      <c r="J41" s="66"/>
      <c r="K41" s="68">
        <f t="shared" si="5"/>
        <v>0</v>
      </c>
    </row>
    <row r="42" spans="1:11">
      <c r="A42" s="146" t="s">
        <v>37</v>
      </c>
      <c r="B42" s="146"/>
      <c r="C42" s="66"/>
      <c r="D42" s="66"/>
      <c r="E42" s="67"/>
      <c r="F42" s="66"/>
      <c r="G42" s="67"/>
      <c r="H42" s="66"/>
      <c r="I42" s="67"/>
      <c r="J42" s="66"/>
      <c r="K42" s="68">
        <f t="shared" si="5"/>
        <v>0</v>
      </c>
    </row>
    <row r="43" spans="1:11" ht="11.25" customHeight="1">
      <c r="A43" s="69"/>
      <c r="B43" s="83" t="s">
        <v>38</v>
      </c>
      <c r="C43" s="66">
        <v>26868</v>
      </c>
      <c r="D43" s="66">
        <v>18201.689999999999</v>
      </c>
      <c r="E43" s="67">
        <v>13768.81</v>
      </c>
      <c r="F43" s="66">
        <v>5037.37</v>
      </c>
      <c r="G43" s="67">
        <v>2014.95</v>
      </c>
      <c r="H43" s="66">
        <v>14977.78</v>
      </c>
      <c r="I43" s="67">
        <v>7186.65</v>
      </c>
      <c r="J43" s="66">
        <v>2820.93</v>
      </c>
      <c r="K43" s="68">
        <f t="shared" si="5"/>
        <v>90876.18</v>
      </c>
    </row>
    <row r="44" spans="1:11" ht="12.75" customHeight="1">
      <c r="A44" s="69"/>
      <c r="B44" s="83" t="s">
        <v>39</v>
      </c>
      <c r="C44" s="66">
        <v>1575.66</v>
      </c>
      <c r="D44" s="66">
        <v>1067.51</v>
      </c>
      <c r="E44" s="67">
        <v>807.53</v>
      </c>
      <c r="F44" s="66">
        <v>295.44</v>
      </c>
      <c r="G44" s="67">
        <v>118.17</v>
      </c>
      <c r="H44" s="66">
        <v>878.43</v>
      </c>
      <c r="I44" s="67">
        <v>421.49</v>
      </c>
      <c r="J44" s="66">
        <v>165.44</v>
      </c>
      <c r="K44" s="68">
        <f t="shared" si="5"/>
        <v>5329.6699999999992</v>
      </c>
    </row>
    <row r="45" spans="1:11" ht="12.75" customHeight="1">
      <c r="A45" s="69"/>
      <c r="B45" s="83" t="s">
        <v>35</v>
      </c>
      <c r="C45" s="66">
        <v>6214.57</v>
      </c>
      <c r="D45" s="66">
        <v>4210.37</v>
      </c>
      <c r="E45" s="67">
        <v>3184.97</v>
      </c>
      <c r="F45" s="66">
        <v>1165.23</v>
      </c>
      <c r="G45" s="67">
        <v>466.09</v>
      </c>
      <c r="H45" s="66">
        <v>3464.62</v>
      </c>
      <c r="I45" s="67">
        <v>1662.4</v>
      </c>
      <c r="J45" s="66">
        <v>652.53</v>
      </c>
      <c r="K45" s="68">
        <f t="shared" si="5"/>
        <v>21020.78</v>
      </c>
    </row>
    <row r="46" spans="1:11" ht="13.5" customHeight="1">
      <c r="A46" s="146" t="s">
        <v>40</v>
      </c>
      <c r="B46" s="146"/>
      <c r="C46" s="66"/>
      <c r="D46" s="66"/>
      <c r="E46" s="67"/>
      <c r="F46" s="66"/>
      <c r="G46" s="67"/>
      <c r="H46" s="66"/>
      <c r="I46" s="67"/>
      <c r="J46" s="66"/>
      <c r="K46" s="68">
        <f t="shared" si="5"/>
        <v>0</v>
      </c>
    </row>
    <row r="47" spans="1:11">
      <c r="A47" s="145" t="s">
        <v>41</v>
      </c>
      <c r="B47" s="145"/>
      <c r="C47" s="63">
        <f>SUM(C43:C46)</f>
        <v>34658.229999999996</v>
      </c>
      <c r="D47" s="63">
        <f t="shared" ref="D47:J47" si="6">SUM(D43:D46)</f>
        <v>23479.569999999996</v>
      </c>
      <c r="E47" s="64">
        <f t="shared" si="6"/>
        <v>17761.310000000001</v>
      </c>
      <c r="F47" s="63">
        <f t="shared" si="6"/>
        <v>6498.0399999999991</v>
      </c>
      <c r="G47" s="64">
        <f t="shared" si="6"/>
        <v>2599.21</v>
      </c>
      <c r="H47" s="63">
        <f t="shared" si="6"/>
        <v>19320.830000000002</v>
      </c>
      <c r="I47" s="64">
        <f t="shared" si="6"/>
        <v>9270.5399999999991</v>
      </c>
      <c r="J47" s="63">
        <f t="shared" si="6"/>
        <v>3638.8999999999996</v>
      </c>
      <c r="K47" s="63">
        <f t="shared" si="5"/>
        <v>117226.62999999998</v>
      </c>
    </row>
    <row r="48" spans="1:11">
      <c r="A48" s="145" t="s">
        <v>42</v>
      </c>
      <c r="B48" s="145"/>
      <c r="C48" s="63"/>
      <c r="D48" s="63"/>
      <c r="E48" s="64"/>
      <c r="F48" s="63"/>
      <c r="G48" s="64"/>
      <c r="H48" s="63"/>
      <c r="I48" s="64"/>
      <c r="J48" s="63"/>
      <c r="K48" s="65"/>
    </row>
    <row r="49" spans="1:11" ht="12.75" customHeight="1">
      <c r="A49" s="146" t="s">
        <v>43</v>
      </c>
      <c r="B49" s="146"/>
      <c r="C49" s="66"/>
      <c r="D49" s="66"/>
      <c r="E49" s="67"/>
      <c r="F49" s="66"/>
      <c r="G49" s="67"/>
      <c r="H49" s="66"/>
      <c r="I49" s="67"/>
      <c r="J49" s="66"/>
      <c r="K49" s="68">
        <v>0</v>
      </c>
    </row>
    <row r="50" spans="1:11" ht="12" customHeight="1">
      <c r="A50" s="146" t="s">
        <v>44</v>
      </c>
      <c r="B50" s="146"/>
      <c r="C50" s="66"/>
      <c r="D50" s="66"/>
      <c r="E50" s="67"/>
      <c r="F50" s="66"/>
      <c r="G50" s="67"/>
      <c r="H50" s="66"/>
      <c r="I50" s="67"/>
      <c r="J50" s="66"/>
      <c r="K50" s="68">
        <v>0</v>
      </c>
    </row>
    <row r="51" spans="1:11">
      <c r="A51" s="145" t="s">
        <v>45</v>
      </c>
      <c r="B51" s="145"/>
      <c r="C51" s="63"/>
      <c r="D51" s="63"/>
      <c r="E51" s="64"/>
      <c r="F51" s="63"/>
      <c r="G51" s="64"/>
      <c r="H51" s="63"/>
      <c r="I51" s="64"/>
      <c r="J51" s="63"/>
      <c r="K51" s="65">
        <v>0</v>
      </c>
    </row>
    <row r="52" spans="1:11">
      <c r="A52" s="145" t="s">
        <v>46</v>
      </c>
      <c r="B52" s="145"/>
      <c r="C52" s="65">
        <f t="shared" ref="C52:J52" si="7">C38-C47</f>
        <v>-122907.24000000024</v>
      </c>
      <c r="D52" s="65">
        <f t="shared" si="7"/>
        <v>14876.769999999971</v>
      </c>
      <c r="E52" s="65">
        <f t="shared" si="7"/>
        <v>62726.419999999984</v>
      </c>
      <c r="F52" s="65">
        <f t="shared" si="7"/>
        <v>-59072.175000000039</v>
      </c>
      <c r="G52" s="65">
        <f t="shared" si="7"/>
        <v>-23373.689999999995</v>
      </c>
      <c r="H52" s="65">
        <f t="shared" si="7"/>
        <v>-80497.359999999913</v>
      </c>
      <c r="I52" s="65">
        <f t="shared" si="7"/>
        <v>106070.18999999999</v>
      </c>
      <c r="J52" s="65">
        <f t="shared" si="7"/>
        <v>-145346.97000000003</v>
      </c>
      <c r="K52" s="65">
        <f>K38-K47</f>
        <v>-247524.05500000025</v>
      </c>
    </row>
    <row r="53" spans="1:11" ht="15.75" customHeight="1">
      <c r="A53" s="143" t="s">
        <v>47</v>
      </c>
      <c r="B53" s="144"/>
      <c r="C53" s="84"/>
      <c r="D53" s="84"/>
      <c r="E53" s="85"/>
      <c r="F53" s="84"/>
      <c r="G53" s="85"/>
      <c r="H53" s="84"/>
      <c r="I53" s="85"/>
      <c r="J53" s="84"/>
      <c r="K53" s="86">
        <v>0</v>
      </c>
    </row>
    <row r="54" spans="1:11" ht="10.5" customHeight="1">
      <c r="A54" s="69"/>
      <c r="B54" s="70" t="s">
        <v>48</v>
      </c>
      <c r="C54" s="66"/>
      <c r="D54" s="66"/>
      <c r="E54" s="67"/>
      <c r="F54" s="66"/>
      <c r="G54" s="67"/>
      <c r="H54" s="66"/>
      <c r="I54" s="67"/>
      <c r="J54" s="66"/>
      <c r="K54" s="68">
        <v>0</v>
      </c>
    </row>
    <row r="55" spans="1:11">
      <c r="A55" s="145" t="s">
        <v>49</v>
      </c>
      <c r="B55" s="145"/>
      <c r="C55" s="63">
        <f>C52</f>
        <v>-122907.24000000024</v>
      </c>
      <c r="D55" s="63">
        <f t="shared" ref="D55:K55" si="8">D52</f>
        <v>14876.769999999971</v>
      </c>
      <c r="E55" s="63">
        <f t="shared" si="8"/>
        <v>62726.419999999984</v>
      </c>
      <c r="F55" s="63">
        <f t="shared" si="8"/>
        <v>-59072.175000000039</v>
      </c>
      <c r="G55" s="63">
        <f t="shared" si="8"/>
        <v>-23373.689999999995</v>
      </c>
      <c r="H55" s="63">
        <f t="shared" si="8"/>
        <v>-80497.359999999913</v>
      </c>
      <c r="I55" s="63">
        <f t="shared" si="8"/>
        <v>106070.18999999999</v>
      </c>
      <c r="J55" s="63">
        <f t="shared" si="8"/>
        <v>-145346.97000000003</v>
      </c>
      <c r="K55" s="63">
        <f t="shared" si="8"/>
        <v>-247524.05500000025</v>
      </c>
    </row>
  </sheetData>
  <mergeCells count="33">
    <mergeCell ref="A5:B5"/>
    <mergeCell ref="A6:B6"/>
    <mergeCell ref="C1:K1"/>
    <mergeCell ref="C2:K2"/>
    <mergeCell ref="A3:B4"/>
    <mergeCell ref="C3:K3"/>
    <mergeCell ref="A7:B7"/>
    <mergeCell ref="A9:B9"/>
    <mergeCell ref="A10:B10"/>
    <mergeCell ref="A11:B11"/>
    <mergeCell ref="A12:B12"/>
    <mergeCell ref="A21:B21"/>
    <mergeCell ref="A22:B22"/>
    <mergeCell ref="A28:B28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6:B46"/>
    <mergeCell ref="A47:B47"/>
    <mergeCell ref="A53:B53"/>
    <mergeCell ref="A55:B55"/>
    <mergeCell ref="A48:B48"/>
    <mergeCell ref="A49:B49"/>
    <mergeCell ref="A50:B50"/>
    <mergeCell ref="A51:B51"/>
    <mergeCell ref="A52:B52"/>
  </mergeCells>
  <pageMargins left="0.15748031496062992" right="0.19685039370078741" top="0.15748031496062992" bottom="0.19685039370078741" header="0.19685039370078741" footer="0.19685039370078741"/>
  <pageSetup paperSize="8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073" r:id="rId4">
          <objectPr defaultSize="0" autoPict="0" r:id="rId5">
            <anchor moveWithCells="1" sizeWithCells="1">
              <from>
                <xdr:col>1</xdr:col>
                <xdr:colOff>259080</xdr:colOff>
                <xdr:row>0</xdr:row>
                <xdr:rowOff>38100</xdr:rowOff>
              </from>
              <to>
                <xdr:col>1</xdr:col>
                <xdr:colOff>1097280</xdr:colOff>
                <xdr:row>2</xdr:row>
                <xdr:rowOff>53340</xdr:rowOff>
              </to>
            </anchor>
          </objectPr>
        </oleObject>
      </mc:Choice>
      <mc:Fallback>
        <oleObject progId="MSPhotoEd.3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SPAZZAMENTO</vt:lpstr>
      <vt:lpstr>RACCOLTA DIFF. E IMPIANTI</vt:lpstr>
      <vt:lpstr>PULIZIA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carmelafabiano</dc:creator>
  <cp:lastModifiedBy>Michela</cp:lastModifiedBy>
  <cp:lastPrinted>2020-12-07T12:31:54Z</cp:lastPrinted>
  <dcterms:created xsi:type="dcterms:W3CDTF">2019-04-23T10:59:13Z</dcterms:created>
  <dcterms:modified xsi:type="dcterms:W3CDTF">2025-01-06T20:37:34Z</dcterms:modified>
</cp:coreProperties>
</file>